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neboffice365-my.sharepoint.com/personal/mtpinheiro_uneb_br/Documents/Publicações/PTTs/2024/"/>
    </mc:Choice>
  </mc:AlternateContent>
  <xr:revisionPtr revIDLastSave="37" documentId="8_{D95749DE-B09E-4E59-BA8F-9B06AE682221}" xr6:coauthVersionLast="47" xr6:coauthVersionMax="47" xr10:uidLastSave="{D70F81F7-D891-4531-87E8-3094913351CE}"/>
  <bookViews>
    <workbookView xWindow="-108" yWindow="-108" windowWidth="23256" windowHeight="12456" firstSheet="4" activeTab="7" xr2:uid="{39E6EF6B-636D-47D4-A432-1692E4433AD9}"/>
  </bookViews>
  <sheets>
    <sheet name="Docentes 2024" sheetId="3" r:id="rId1"/>
    <sheet name="Docentes FILTRO" sheetId="20" r:id="rId2"/>
    <sheet name="Produção Docentes  (DATA)" sheetId="5" r:id="rId3"/>
    <sheet name="Produção Docentes  (área 1)" sheetId="16" r:id="rId4"/>
    <sheet name="Produção Docentes  (Área 2)" sheetId="19" r:id="rId5"/>
    <sheet name="Dados Mala Direta" sheetId="14" r:id="rId6"/>
    <sheet name="Prod Doc Art, L  e CL (Data)" sheetId="15" r:id="rId7"/>
    <sheet name="Sobre" sheetId="21" r:id="rId8"/>
  </sheets>
  <definedNames>
    <definedName name="_xlnm._FilterDatabase" localSheetId="0" hidden="1">'Docentes 2024'!$A$1:$C$27</definedName>
    <definedName name="_xlnm._FilterDatabase" localSheetId="1" hidden="1">'Docentes FILTRO'!$A$1:$B$27</definedName>
    <definedName name="_xlnm._FilterDatabase" localSheetId="6" hidden="1">'Prod Doc Art, L  e CL (Data)'!$A$2:$M$29</definedName>
    <definedName name="_xlnm._FilterDatabase" localSheetId="3" hidden="1">'Produção Docentes  (área 1)'!$A$2:$Q$15</definedName>
    <definedName name="_xlnm._FilterDatabase" localSheetId="4" hidden="1">'Produção Docentes  (Área 2)'!$A$2:$Q$13</definedName>
    <definedName name="_xlnm._FilterDatabase" localSheetId="2" hidden="1">'Produção Docentes  (DATA)'!$A$2:$M$29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" i="19" l="1"/>
  <c r="N3" i="19"/>
  <c r="P3" i="19"/>
  <c r="Q3" i="19"/>
  <c r="M4" i="19"/>
  <c r="N4" i="19"/>
  <c r="P4" i="19"/>
  <c r="Q4" i="19"/>
  <c r="M5" i="19"/>
  <c r="N5" i="19"/>
  <c r="P5" i="19"/>
  <c r="Q5" i="19"/>
  <c r="M6" i="19"/>
  <c r="N6" i="19"/>
  <c r="P6" i="19"/>
  <c r="Q6" i="19"/>
  <c r="M7" i="19"/>
  <c r="N7" i="19"/>
  <c r="P7" i="19"/>
  <c r="Q7" i="19"/>
  <c r="M8" i="19"/>
  <c r="N8" i="19"/>
  <c r="P8" i="19"/>
  <c r="Q8" i="19"/>
  <c r="M9" i="19"/>
  <c r="N9" i="19"/>
  <c r="P9" i="19"/>
  <c r="Q9" i="19"/>
  <c r="M10" i="19"/>
  <c r="N10" i="19"/>
  <c r="P10" i="19"/>
  <c r="Q10" i="19"/>
  <c r="M11" i="19"/>
  <c r="N11" i="19"/>
  <c r="P11" i="19"/>
  <c r="Q11" i="19"/>
  <c r="C12" i="19"/>
  <c r="D12" i="19"/>
  <c r="E12" i="19"/>
  <c r="F12" i="19"/>
  <c r="G12" i="19"/>
  <c r="H12" i="19"/>
  <c r="I12" i="19"/>
  <c r="J12" i="19"/>
  <c r="K12" i="19"/>
  <c r="L12" i="19"/>
  <c r="M12" i="19"/>
  <c r="C13" i="19"/>
  <c r="D13" i="19"/>
  <c r="E13" i="19"/>
  <c r="F13" i="19"/>
  <c r="G13" i="19"/>
  <c r="H13" i="19"/>
  <c r="I13" i="19"/>
  <c r="J13" i="19"/>
  <c r="M13" i="19"/>
  <c r="B38" i="5"/>
  <c r="C38" i="5" s="1"/>
  <c r="B39" i="5"/>
  <c r="C39" i="5"/>
  <c r="B40" i="5"/>
  <c r="C40" i="5" s="1"/>
  <c r="B41" i="5"/>
  <c r="C41" i="5" s="1"/>
  <c r="B42" i="5"/>
  <c r="C42" i="5" s="1"/>
  <c r="B43" i="5"/>
  <c r="C43" i="5" s="1"/>
  <c r="M15" i="16"/>
  <c r="M24" i="5"/>
  <c r="B19" i="16"/>
  <c r="Q4" i="16"/>
  <c r="Q5" i="16"/>
  <c r="Q6" i="16"/>
  <c r="Q7" i="16"/>
  <c r="Q8" i="16"/>
  <c r="Q9" i="16"/>
  <c r="Q10" i="16"/>
  <c r="Q11" i="16"/>
  <c r="Q12" i="16"/>
  <c r="Q13" i="16"/>
  <c r="Q3" i="16"/>
  <c r="B34" i="19"/>
  <c r="B36" i="19"/>
  <c r="L14" i="16"/>
  <c r="K14" i="16"/>
  <c r="J14" i="16"/>
  <c r="J15" i="16" s="1"/>
  <c r="I14" i="16"/>
  <c r="I15" i="16" s="1"/>
  <c r="H14" i="16"/>
  <c r="H15" i="16" s="1"/>
  <c r="G14" i="16"/>
  <c r="G15" i="16" s="1"/>
  <c r="F14" i="16"/>
  <c r="F15" i="16" s="1"/>
  <c r="E14" i="16"/>
  <c r="E15" i="16" s="1"/>
  <c r="D14" i="16"/>
  <c r="D15" i="16" s="1"/>
  <c r="C14" i="16"/>
  <c r="C15" i="16" s="1"/>
  <c r="M13" i="16"/>
  <c r="P13" i="16" s="1"/>
  <c r="M12" i="16"/>
  <c r="N12" i="16" s="1"/>
  <c r="M11" i="16"/>
  <c r="N11" i="16" s="1"/>
  <c r="M10" i="16"/>
  <c r="P10" i="16" s="1"/>
  <c r="M9" i="16"/>
  <c r="N9" i="16" s="1"/>
  <c r="M8" i="16"/>
  <c r="N8" i="16" s="1"/>
  <c r="M7" i="16"/>
  <c r="N7" i="16" s="1"/>
  <c r="M6" i="16"/>
  <c r="N6" i="16" s="1"/>
  <c r="M5" i="16"/>
  <c r="N5" i="16" s="1"/>
  <c r="M4" i="16"/>
  <c r="N4" i="16" s="1"/>
  <c r="M3" i="16"/>
  <c r="N3" i="16" s="1"/>
  <c r="B41" i="16"/>
  <c r="P5" i="5"/>
  <c r="Q5" i="5" s="1"/>
  <c r="M21" i="14"/>
  <c r="M20" i="14"/>
  <c r="M19" i="14"/>
  <c r="M18" i="14"/>
  <c r="M17" i="14"/>
  <c r="M16" i="14"/>
  <c r="M15" i="14"/>
  <c r="M14" i="14"/>
  <c r="M13" i="14"/>
  <c r="M12" i="14"/>
  <c r="M11" i="14"/>
  <c r="M10" i="14"/>
  <c r="M9" i="14"/>
  <c r="M8" i="14"/>
  <c r="M7" i="14"/>
  <c r="M6" i="14"/>
  <c r="M5" i="14"/>
  <c r="M4" i="14"/>
  <c r="M3" i="14"/>
  <c r="M2" i="14"/>
  <c r="M3" i="5"/>
  <c r="N3" i="5" s="1"/>
  <c r="M3" i="15"/>
  <c r="P3" i="15"/>
  <c r="M4" i="15"/>
  <c r="P4" i="15"/>
  <c r="M5" i="15"/>
  <c r="P5" i="15"/>
  <c r="M6" i="15"/>
  <c r="P6" i="15"/>
  <c r="M7" i="15"/>
  <c r="P7" i="15"/>
  <c r="M8" i="15"/>
  <c r="P8" i="15"/>
  <c r="M9" i="15"/>
  <c r="M10" i="15"/>
  <c r="M11" i="15"/>
  <c r="P11" i="15"/>
  <c r="M12" i="15"/>
  <c r="P12" i="15"/>
  <c r="M6" i="5"/>
  <c r="N6" i="5" s="1"/>
  <c r="T23" i="15"/>
  <c r="S23" i="15"/>
  <c r="N26" i="15"/>
  <c r="L23" i="15"/>
  <c r="K23" i="15"/>
  <c r="J23" i="15"/>
  <c r="J24" i="15" s="1"/>
  <c r="I23" i="15"/>
  <c r="I24" i="15" s="1"/>
  <c r="H23" i="15"/>
  <c r="H24" i="15" s="1"/>
  <c r="G23" i="15"/>
  <c r="G24" i="15" s="1"/>
  <c r="F23" i="15"/>
  <c r="F24" i="15" s="1"/>
  <c r="E23" i="15"/>
  <c r="E24" i="15" s="1"/>
  <c r="D23" i="15"/>
  <c r="D24" i="15" s="1"/>
  <c r="C23" i="15"/>
  <c r="C24" i="15" s="1"/>
  <c r="P22" i="15"/>
  <c r="M22" i="15"/>
  <c r="P21" i="15"/>
  <c r="M21" i="15"/>
  <c r="P20" i="15"/>
  <c r="M20" i="15"/>
  <c r="P19" i="15"/>
  <c r="M19" i="15"/>
  <c r="P18" i="15"/>
  <c r="M18" i="15"/>
  <c r="P17" i="15"/>
  <c r="M17" i="15"/>
  <c r="P16" i="15"/>
  <c r="M16" i="15"/>
  <c r="P15" i="15"/>
  <c r="M15" i="15"/>
  <c r="P14" i="15"/>
  <c r="M14" i="15"/>
  <c r="P13" i="15"/>
  <c r="M13" i="15"/>
  <c r="M4" i="5"/>
  <c r="N4" i="5" s="1"/>
  <c r="M5" i="5"/>
  <c r="N5" i="5" s="1"/>
  <c r="M7" i="5"/>
  <c r="N7" i="5" s="1"/>
  <c r="M8" i="5"/>
  <c r="P8" i="5" s="1"/>
  <c r="M9" i="5"/>
  <c r="N9" i="5" s="1"/>
  <c r="M10" i="5"/>
  <c r="N10" i="5" s="1"/>
  <c r="M11" i="5"/>
  <c r="N11" i="5" s="1"/>
  <c r="M12" i="5"/>
  <c r="N12" i="5" s="1"/>
  <c r="M13" i="5"/>
  <c r="P13" i="5" s="1"/>
  <c r="Q13" i="5" s="1"/>
  <c r="M14" i="5"/>
  <c r="N14" i="5" s="1"/>
  <c r="M15" i="5"/>
  <c r="N15" i="5" s="1"/>
  <c r="M16" i="5"/>
  <c r="N16" i="5" s="1"/>
  <c r="M17" i="5"/>
  <c r="N17" i="5" s="1"/>
  <c r="M18" i="5"/>
  <c r="N18" i="5" s="1"/>
  <c r="M19" i="5"/>
  <c r="N19" i="5" s="1"/>
  <c r="M20" i="5"/>
  <c r="N20" i="5" s="1"/>
  <c r="M21" i="5"/>
  <c r="N21" i="5" s="1"/>
  <c r="M22" i="5"/>
  <c r="N22" i="5" s="1"/>
  <c r="B50" i="5"/>
  <c r="D23" i="5"/>
  <c r="D24" i="5" s="1"/>
  <c r="E23" i="5"/>
  <c r="E24" i="5" s="1"/>
  <c r="F23" i="5"/>
  <c r="F24" i="5" s="1"/>
  <c r="G23" i="5"/>
  <c r="G24" i="5" s="1"/>
  <c r="H23" i="5"/>
  <c r="H24" i="5" s="1"/>
  <c r="I23" i="5"/>
  <c r="I24" i="5" s="1"/>
  <c r="J23" i="5"/>
  <c r="J24" i="5" s="1"/>
  <c r="K23" i="5"/>
  <c r="L23" i="5"/>
  <c r="C23" i="5"/>
  <c r="C24" i="5" s="1"/>
  <c r="P7" i="5" l="1"/>
  <c r="Q7" i="5" s="1"/>
  <c r="P6" i="5"/>
  <c r="Q6" i="5" s="1"/>
  <c r="P3" i="5"/>
  <c r="Q3" i="5" s="1"/>
  <c r="N8" i="5"/>
  <c r="P22" i="5"/>
  <c r="Q22" i="5" s="1"/>
  <c r="P16" i="5"/>
  <c r="Q16" i="5" s="1"/>
  <c r="P15" i="5"/>
  <c r="Q15" i="5" s="1"/>
  <c r="P14" i="5"/>
  <c r="Q14" i="5" s="1"/>
  <c r="P21" i="5"/>
  <c r="Q21" i="5" s="1"/>
  <c r="P20" i="5"/>
  <c r="Q20" i="5" s="1"/>
  <c r="P12" i="5"/>
  <c r="Q12" i="5" s="1"/>
  <c r="P4" i="5"/>
  <c r="N13" i="5"/>
  <c r="P19" i="5"/>
  <c r="P11" i="5"/>
  <c r="Q11" i="5" s="1"/>
  <c r="P18" i="5"/>
  <c r="Q18" i="5" s="1"/>
  <c r="P10" i="5"/>
  <c r="P17" i="5"/>
  <c r="P9" i="5"/>
  <c r="B30" i="19"/>
  <c r="B27" i="19"/>
  <c r="B29" i="19"/>
  <c r="B33" i="19"/>
  <c r="B37" i="19"/>
  <c r="B38" i="19"/>
  <c r="B31" i="19"/>
  <c r="B35" i="19"/>
  <c r="B39" i="19"/>
  <c r="B28" i="19"/>
  <c r="B32" i="19"/>
  <c r="P11" i="16"/>
  <c r="P7" i="16"/>
  <c r="P4" i="16"/>
  <c r="P8" i="16"/>
  <c r="P5" i="16"/>
  <c r="P9" i="16"/>
  <c r="P12" i="16"/>
  <c r="M14" i="16"/>
  <c r="B38" i="16"/>
  <c r="N10" i="16"/>
  <c r="N13" i="16"/>
  <c r="B31" i="16"/>
  <c r="B35" i="16"/>
  <c r="B39" i="16"/>
  <c r="B30" i="16"/>
  <c r="P6" i="16"/>
  <c r="P3" i="16"/>
  <c r="B34" i="16"/>
  <c r="B32" i="16"/>
  <c r="B36" i="16"/>
  <c r="B40" i="16"/>
  <c r="B29" i="16"/>
  <c r="B33" i="16"/>
  <c r="B37" i="16"/>
  <c r="M23" i="15"/>
  <c r="N6" i="15" s="1"/>
  <c r="P23" i="15"/>
  <c r="B32" i="15" s="1"/>
  <c r="B33" i="15" s="1"/>
  <c r="B34" i="15" s="1"/>
  <c r="B48" i="5"/>
  <c r="B49" i="5"/>
  <c r="B44" i="5"/>
  <c r="B45" i="5"/>
  <c r="B50" i="15"/>
  <c r="B46" i="15"/>
  <c r="B44" i="15"/>
  <c r="B42" i="15"/>
  <c r="B40" i="15"/>
  <c r="B47" i="15"/>
  <c r="B45" i="15"/>
  <c r="B43" i="15"/>
  <c r="B41" i="15"/>
  <c r="B39" i="15"/>
  <c r="B48" i="15"/>
  <c r="B49" i="15"/>
  <c r="B51" i="15"/>
  <c r="N13" i="15"/>
  <c r="N22" i="15"/>
  <c r="B46" i="5"/>
  <c r="B47" i="5"/>
  <c r="M23" i="5"/>
  <c r="B40" i="19" l="1"/>
  <c r="C27" i="19" s="1"/>
  <c r="B17" i="19"/>
  <c r="B16" i="19"/>
  <c r="B42" i="16"/>
  <c r="C41" i="16" s="1"/>
  <c r="B18" i="16"/>
  <c r="Q16" i="15"/>
  <c r="R16" i="15" s="1"/>
  <c r="Q8" i="15"/>
  <c r="R8" i="15" s="1"/>
  <c r="Q11" i="15"/>
  <c r="R11" i="15" s="1"/>
  <c r="Q9" i="15"/>
  <c r="R9" i="15" s="1"/>
  <c r="Q4" i="15"/>
  <c r="R4" i="15" s="1"/>
  <c r="Q7" i="15"/>
  <c r="R7" i="15" s="1"/>
  <c r="Q10" i="15"/>
  <c r="R10" i="15" s="1"/>
  <c r="Q3" i="15"/>
  <c r="R3" i="15" s="1"/>
  <c r="Q6" i="15"/>
  <c r="R6" i="15" s="1"/>
  <c r="Q12" i="15"/>
  <c r="R12" i="15" s="1"/>
  <c r="Q5" i="15"/>
  <c r="R5" i="15" s="1"/>
  <c r="Q20" i="15"/>
  <c r="R20" i="15" s="1"/>
  <c r="N9" i="15"/>
  <c r="Q22" i="15"/>
  <c r="R22" i="15" s="1"/>
  <c r="N3" i="15"/>
  <c r="N17" i="15"/>
  <c r="N12" i="15"/>
  <c r="N21" i="15"/>
  <c r="Q13" i="15"/>
  <c r="R13" i="15" s="1"/>
  <c r="Q18" i="15"/>
  <c r="R18" i="15" s="1"/>
  <c r="N11" i="15"/>
  <c r="N8" i="15"/>
  <c r="N4" i="15"/>
  <c r="N7" i="15"/>
  <c r="N15" i="15"/>
  <c r="N19" i="15"/>
  <c r="N18" i="15"/>
  <c r="B27" i="15"/>
  <c r="Q17" i="15"/>
  <c r="R17" i="15" s="1"/>
  <c r="N10" i="15"/>
  <c r="N14" i="15"/>
  <c r="N16" i="15"/>
  <c r="N20" i="15"/>
  <c r="B28" i="15"/>
  <c r="B29" i="15" s="1"/>
  <c r="Q19" i="15"/>
  <c r="R19" i="15" s="1"/>
  <c r="N5" i="15"/>
  <c r="Q15" i="15"/>
  <c r="R15" i="15" s="1"/>
  <c r="Q21" i="15"/>
  <c r="R21" i="15" s="1"/>
  <c r="Q14" i="15"/>
  <c r="R14" i="15" s="1"/>
  <c r="O21" i="15"/>
  <c r="O19" i="15"/>
  <c r="O17" i="15"/>
  <c r="O15" i="15"/>
  <c r="O13" i="15"/>
  <c r="O18" i="15"/>
  <c r="O16" i="15"/>
  <c r="O14" i="15"/>
  <c r="B52" i="15"/>
  <c r="C50" i="15" s="1"/>
  <c r="B51" i="5"/>
  <c r="B27" i="5"/>
  <c r="B28" i="5"/>
  <c r="B29" i="5" l="1"/>
  <c r="B33" i="5"/>
  <c r="C35" i="19"/>
  <c r="C39" i="19"/>
  <c r="C28" i="19"/>
  <c r="C37" i="19"/>
  <c r="C29" i="19"/>
  <c r="C33" i="19"/>
  <c r="C31" i="19"/>
  <c r="C38" i="19"/>
  <c r="C32" i="19"/>
  <c r="B18" i="19"/>
  <c r="C36" i="19"/>
  <c r="C34" i="19"/>
  <c r="C30" i="19"/>
  <c r="C30" i="16"/>
  <c r="B20" i="16"/>
  <c r="C29" i="16"/>
  <c r="C36" i="16"/>
  <c r="C37" i="16"/>
  <c r="C31" i="16"/>
  <c r="C35" i="16"/>
  <c r="C32" i="16"/>
  <c r="C39" i="16"/>
  <c r="C40" i="16"/>
  <c r="C34" i="16"/>
  <c r="C33" i="16"/>
  <c r="C38" i="16"/>
  <c r="O4" i="15"/>
  <c r="O7" i="15"/>
  <c r="O10" i="15"/>
  <c r="O3" i="15"/>
  <c r="O6" i="15"/>
  <c r="O5" i="15"/>
  <c r="O9" i="15"/>
  <c r="O12" i="15"/>
  <c r="O8" i="15"/>
  <c r="O11" i="15"/>
  <c r="O20" i="15"/>
  <c r="O22" i="15"/>
  <c r="C45" i="15"/>
  <c r="C41" i="15"/>
  <c r="C46" i="15"/>
  <c r="C47" i="15"/>
  <c r="C43" i="15"/>
  <c r="C49" i="15"/>
  <c r="C51" i="15"/>
  <c r="C48" i="15"/>
  <c r="C42" i="15"/>
  <c r="C40" i="15"/>
  <c r="C39" i="15"/>
  <c r="C44" i="15"/>
  <c r="C49" i="5"/>
  <c r="C45" i="5"/>
  <c r="C44" i="5"/>
  <c r="C48" i="5"/>
  <c r="C47" i="5"/>
  <c r="C46" i="5"/>
  <c r="C50" i="5"/>
  <c r="Q8" i="5" l="1"/>
  <c r="Q19" i="5"/>
  <c r="Q4" i="5"/>
  <c r="Q9" i="5"/>
  <c r="Q17" i="5"/>
  <c r="Q10" i="5"/>
  <c r="C40" i="19"/>
  <c r="C42" i="16"/>
  <c r="C52" i="15"/>
  <c r="C51" i="5"/>
</calcChain>
</file>

<file path=xl/sharedStrings.xml><?xml version="1.0" encoding="utf-8"?>
<sst xmlns="http://schemas.openxmlformats.org/spreadsheetml/2006/main" count="584" uniqueCount="144">
  <si>
    <t>Docente</t>
  </si>
  <si>
    <t>Categoria</t>
  </si>
  <si>
    <t>COLABORADOR</t>
  </si>
  <si>
    <t>PERMANENTE</t>
  </si>
  <si>
    <t>VISITANTE</t>
  </si>
  <si>
    <t>A1</t>
  </si>
  <si>
    <t>A2</t>
  </si>
  <si>
    <t>A3</t>
  </si>
  <si>
    <t>A4</t>
  </si>
  <si>
    <t>B1</t>
  </si>
  <si>
    <t>B2</t>
  </si>
  <si>
    <t>B3</t>
  </si>
  <si>
    <t>B4</t>
  </si>
  <si>
    <t>C</t>
  </si>
  <si>
    <t>Pontuação Artigos</t>
  </si>
  <si>
    <t>N</t>
  </si>
  <si>
    <t>Análise</t>
  </si>
  <si>
    <t>Produção média por ano</t>
  </si>
  <si>
    <t>Total de Artigos por Estrato</t>
  </si>
  <si>
    <t>Demanda de produção até final de 2024</t>
  </si>
  <si>
    <t>Total de Pontuação por Estrato</t>
  </si>
  <si>
    <t>Média Produção Bibliográfica Válida</t>
  </si>
  <si>
    <t>Produção Média por Ano</t>
  </si>
  <si>
    <t>Previsão de Produção Bib Válida</t>
  </si>
  <si>
    <t>Demanda de Prod Bib Individual até final de 2024 na soma dos três artigos</t>
  </si>
  <si>
    <t>Previsão de Produção do Corpo Docente</t>
  </si>
  <si>
    <t>Produção Individual válida referente aos tres artigos</t>
  </si>
  <si>
    <t>Prod Bib Individual Válida dos três artigos atualmente</t>
  </si>
  <si>
    <t>Pontuação Média do Corpo Docente</t>
  </si>
  <si>
    <t>Gráfico de Frequencia</t>
  </si>
  <si>
    <t>]100 - 150]</t>
  </si>
  <si>
    <t>]300 - 350]</t>
  </si>
  <si>
    <t>]350 - 400]</t>
  </si>
  <si>
    <t>]200 - 250]</t>
  </si>
  <si>
    <t>]150 - 200]</t>
  </si>
  <si>
    <t>]400 - 450]</t>
  </si>
  <si>
    <t>]450 - 500]</t>
  </si>
  <si>
    <t>]550 - 600]</t>
  </si>
  <si>
    <t>]050 - 100]</t>
  </si>
  <si>
    <t>[000 - 050]</t>
  </si>
  <si>
    <t>]250 - 300]</t>
  </si>
  <si>
    <t>]500 - 550]</t>
  </si>
  <si>
    <t>Total</t>
  </si>
  <si>
    <t>Intervalo de Pontuação</t>
  </si>
  <si>
    <t>Qt Docentes</t>
  </si>
  <si>
    <t>%</t>
  </si>
  <si>
    <t>Produção do GESTEC</t>
  </si>
  <si>
    <t>Na média de produção</t>
  </si>
  <si>
    <t>ABAIXO</t>
  </si>
  <si>
    <t>Análise - Média de Produção do Programa</t>
  </si>
  <si>
    <t>]600 - 5000]</t>
  </si>
  <si>
    <t>Análise da Demada de Produção Bib Individual até final de 2024</t>
  </si>
  <si>
    <t>L</t>
  </si>
  <si>
    <t>CL</t>
  </si>
  <si>
    <t>APOSENTADA</t>
  </si>
  <si>
    <t>APSENTADO</t>
  </si>
  <si>
    <t>DOCENTE</t>
  </si>
  <si>
    <t>SEQ TOTAL</t>
  </si>
  <si>
    <t>ÁREA</t>
  </si>
  <si>
    <t>SEQ ÁREA</t>
  </si>
  <si>
    <t>Área</t>
  </si>
  <si>
    <t>Valor Médio Inferior - Parâmetro para Análise da  Média</t>
  </si>
  <si>
    <t xml:space="preserve">Produção Média por Ano das Áreas </t>
  </si>
  <si>
    <t>Produção Média por Ano da Áreas</t>
  </si>
  <si>
    <t>Nome</t>
  </si>
  <si>
    <t>Situação</t>
  </si>
  <si>
    <t>Docente 1</t>
  </si>
  <si>
    <t xml:space="preserve">Docente 2 </t>
  </si>
  <si>
    <t>Docente 3</t>
  </si>
  <si>
    <t>Docente 4</t>
  </si>
  <si>
    <t>Docente 5</t>
  </si>
  <si>
    <t>Docente 6</t>
  </si>
  <si>
    <t>Docente 7</t>
  </si>
  <si>
    <t>Docente 8</t>
  </si>
  <si>
    <t>Docente 9</t>
  </si>
  <si>
    <t>Docente 10</t>
  </si>
  <si>
    <t>Docente 11</t>
  </si>
  <si>
    <t>Docente 12</t>
  </si>
  <si>
    <t>Docente 13</t>
  </si>
  <si>
    <t>Docente 14</t>
  </si>
  <si>
    <t>Docente 15</t>
  </si>
  <si>
    <t>Docente 16</t>
  </si>
  <si>
    <t>Docente 17</t>
  </si>
  <si>
    <t>Docente 18</t>
  </si>
  <si>
    <t>Docente 19</t>
  </si>
  <si>
    <t>Docente 20</t>
  </si>
  <si>
    <t>Docente 21</t>
  </si>
  <si>
    <t>Docente 22</t>
  </si>
  <si>
    <t>Docente 23</t>
  </si>
  <si>
    <t>Docente 24</t>
  </si>
  <si>
    <t>Docente 25</t>
  </si>
  <si>
    <t>Docente 26</t>
  </si>
  <si>
    <t>PROGRAMA X - Produção no Quadriênio - 2021 a 2024 - Referência (DATA)</t>
  </si>
  <si>
    <t>Título do Produto:</t>
  </si>
  <si>
    <t>Aplicação ProdDocPos - Análise de Produção Docente</t>
  </si>
  <si>
    <t>Tipo do PPT:</t>
  </si>
  <si>
    <t>T2 - Desenvolvimento de produto vinculado à educação</t>
  </si>
  <si>
    <t>Autores e Colaboradores:</t>
  </si>
  <si>
    <t>Marcus Túlio de Freitas Pinheiro</t>
  </si>
  <si>
    <t>Resumo:</t>
  </si>
  <si>
    <t>Análise de Produção Docente</t>
  </si>
  <si>
    <t>Contexto: No cenário atual da educação superior, a avaliação da produção acadêmica dos docentes é essencial para garantir a qualidade do ensino e da pesquisa. As instituições de ensino superior enfrentam desafios crescentes para manter a excelência acadêmica, atrair financiamento e melhorar suas posições em rankings nacionais e internacionais. Nesse contexto, a análise detalhada da produção docente torna-se uma ferramenta estratégica para a gestão acadêmica.</t>
  </si>
  <si>
    <t>Justificativa: A análise da produção docente é fundamental para várias razões:</t>
  </si>
  <si>
    <t>Transparência e Prestação de Contas: As instituições precisam demonstrar a eficácia de seus programas e a produtividade de seus docentes para órgãos reguladores, financiadores e a sociedade em geral.</t>
  </si>
  <si>
    <t>Planejamento Estratégico: Compreender as áreas de força e fraqueza na produção acadêmica permite uma alocação mais eficiente de recursos e o desenvolvimento de estratégias para melhorar a qualidade e o impacto da pesquisa.</t>
  </si>
  <si>
    <t>Reconhecimento e Incentivo: Identificar e reconhecer os docentes com alta produtividade pode servir como incentivo para outros, promovendo uma cultura de excelência acadêmica.</t>
  </si>
  <si>
    <t>Melhoria Contínua: A análise contínua da produção docente ajuda a identificar tendências e padrões, permitindo ajustes e melhorias nos programas acadêmicos e de pesquisa.</t>
  </si>
  <si>
    <t>Objetivos:</t>
  </si>
  <si>
    <t>Avaliar a produtividade acadêmica dos docentes.</t>
  </si>
  <si>
    <t>Identificar áreas de excelência e oportunidades de melhoria.</t>
  </si>
  <si>
    <t>Fornecer dados para apoiar decisões estratégicas na gestão acadêmica.</t>
  </si>
  <si>
    <t>Metodologia:</t>
  </si>
  <si>
    <t>Coleta de Dados: Reunir informações sobre publicações, projetos de pesquisa, orientações e outras atividades acadêmicas dos docentes.</t>
  </si>
  <si>
    <t>Análise Quantitativa: Utilizar ferramentas estatísticas para medir a produção acadêmica em diferentes categorias.</t>
  </si>
  <si>
    <t>Análise Qualitativa: Avaliar o impacto e a relevância das contribuições acadêmicas.</t>
  </si>
  <si>
    <t>Relatórios: Gerar relatórios detalhados e gráficos para visualização dos dados.</t>
  </si>
  <si>
    <t xml:space="preserve">Resultados </t>
  </si>
  <si>
    <t>Relatórios detalhados sobre a produção acadêmica de cada docente.</t>
  </si>
  <si>
    <t>Identificação de tendências e padrões na produção acadêmica.</t>
  </si>
  <si>
    <t>Recomendações para melhorar a produtividade e a qualidade das contribuições acadêmicas.</t>
  </si>
  <si>
    <t>Dados para apoiar a alocação de recursos e o planejamento estratégico.</t>
  </si>
  <si>
    <t>Impactos:</t>
  </si>
  <si>
    <t>Melhoria da Qualidade Acadêmica: A análise detalhada da produção acadêmica permite identificar áreas de excelência e pontos que necessitam de melhorias, contribuindo para a elevação da qualidade do ensino e da pesquisa.</t>
  </si>
  <si>
    <t>Planejamento Estratégico: Com dados precisos sobre a produção docente, a instituição pode tomar decisões mais informadas sobre a alocação de recursos, desenvolvimento de programas e definição de prioridades estratégicas.</t>
  </si>
  <si>
    <t>Reconhecimento e Incentivo: A identificação de docentes com alta produtividade pode levar ao reconhecimento e à criação de incentivos, promovendo uma cultura de excelência e motivação entre os professores.</t>
  </si>
  <si>
    <t>Transparência e Prestação de Contas: A análise da produção docente fornece uma base sólida para a prestação de contas a órgãos reguladores, financiadores e à sociedade, demonstrando a eficácia e o impacto das atividades acadêmicas.</t>
  </si>
  <si>
    <t>Desenvolvimento Profissional: Os dados obtidos podem ser utilizados para identificar necessidades de desenvolvimento profissional, oferecendo oportunidades de capacitação e formação contínua para os docentes.</t>
  </si>
  <si>
    <t>Inovação Pedagógica: A análise das práticas docentes e suas produções acadêmicas pode promover a reflexão e a inovação metodológica, enriquecendo a prática educativa e contribuindo para a melhoria contínua do ensino.</t>
  </si>
  <si>
    <t>Aplicabilidade:</t>
  </si>
  <si>
    <t>Avaliação de Desempenho: Permite uma avaliação objetiva e detalhada do desempenho dos docentes, considerando suas publicações, projetos de pesquisa, orientações e outras atividades acadêmicas.</t>
  </si>
  <si>
    <t>Planejamento e Gestão Acadêmica: Fornece dados essenciais para o planejamento estratégico, ajudando na alocação de recursos, desenvolvimento de programas e definição de prioridades acadêmicas.</t>
  </si>
  <si>
    <t>Desenvolvimento Profissional: Identifica áreas onde os docentes podem precisar de desenvolvimento adicional, permitindo a criação de programas de capacitação e formação contínua.</t>
  </si>
  <si>
    <t>Reconhecimento e Incentivo: Facilita o reconhecimento dos docentes com alta produtividade, promovendo uma cultura de excelência e incentivando outros a melhorar seu desempenho.</t>
  </si>
  <si>
    <t>Transparência e Prestação de Contas: Oferece uma base sólida para a prestação de contas a órgãos reguladores, financiadores e à sociedade, demonstrando a eficácia e o impacto das atividades acadêmicas.</t>
  </si>
  <si>
    <t>Inovação Pedagógica: Promove a reflexão e a inovação metodológica ao analisar as práticas docentes e suas produções acadêmicas, contribuindo para a melhoria contínua do ensino.</t>
  </si>
  <si>
    <t>Melhoria da Qualidade Acadêmica: Ajuda a identificar áreas de excelência e pontos que necessitam de melhorias, contribuindo para a elevação da qualidade do ensino e da pesquisa.</t>
  </si>
  <si>
    <t>Referências Bibliográficas:</t>
  </si>
  <si>
    <t>SILVA, Maria. Trabalho docente no ensino superior: análise da produção científica publicada no Brasil (2010-2019). SciELO Brasil. Disponível em: https://www.scielo.br/j/es/a/7nxMVpRSVhk6XDrzpHS8fgy/</t>
  </si>
  <si>
    <t>SOUZA, João. Contribuições da análise do trabalho docente à promoção da interculturalidade curricular. Universidade Federal de Sergipe. Disponível em: https://ri.ufs.br/bitstream/riufs/20147/2/ContribuicoesAnaliseTrabalhoDocenteInterculturalidadeCurricular.pdf</t>
  </si>
  <si>
    <t>PEREIRA, Ana. A pesquisa-ação como instrumento de análise e avaliação da prática docente. SciELO Brasil. Disponível em: https://www.scielo.br/j/ensaio/a/fZHgMj9LmLsnTVmBbnhhJhM/</t>
  </si>
  <si>
    <t>Financiamento e Apoio:</t>
  </si>
  <si>
    <t>Universidade do Estado da Bahia - UNEB</t>
  </si>
  <si>
    <t>Link para o Produto:</t>
  </si>
  <si>
    <t>Informe o link para o produto disponibilizado no calameo ou outro repositório.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</si>
</sst>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Tahoma"/>
      <family val="2"/>
    </font>
    <font>
      <b/>
      <sz val="20"/>
      <color theme="1"/>
      <name val="Calibri"/>
      <family val="2"/>
      <scheme val="minor"/>
    </font>
    <font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33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0" fillId="0" borderId="1" xfId="0" applyBorder="1" applyAlignment="1">
      <alignment horizontal="center"/>
    </xf>
    <xf numFmtId="1" fontId="0" fillId="0" borderId="0" xfId="0" applyNumberForma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left"/>
    </xf>
    <xf numFmtId="1" fontId="2" fillId="0" borderId="1" xfId="0" applyNumberFormat="1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7" fontId="2" fillId="0" borderId="1" xfId="0" applyNumberFormat="1" applyFont="1" applyBorder="1" applyAlignment="1">
      <alignment horizontal="center"/>
    </xf>
    <xf numFmtId="0" fontId="3" fillId="0" borderId="1" xfId="0" applyFont="1" applyBorder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1" fontId="3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1" fontId="0" fillId="0" borderId="0" xfId="0" applyNumberForma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3" borderId="1" xfId="0" applyFill="1" applyBorder="1"/>
    <xf numFmtId="0" fontId="0" fillId="4" borderId="1" xfId="0" applyFill="1" applyBorder="1"/>
    <xf numFmtId="0" fontId="0" fillId="5" borderId="1" xfId="0" applyFill="1" applyBorder="1"/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0" fillId="6" borderId="1" xfId="0" applyFill="1" applyBorder="1"/>
    <xf numFmtId="0" fontId="0" fillId="7" borderId="1" xfId="0" applyFill="1" applyBorder="1"/>
    <xf numFmtId="0" fontId="0" fillId="0" borderId="1" xfId="0" applyBorder="1"/>
    <xf numFmtId="0" fontId="3" fillId="0" borderId="1" xfId="0" applyFont="1" applyBorder="1" applyAlignment="1">
      <alignment vertical="center"/>
    </xf>
    <xf numFmtId="0" fontId="4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3300"/>
      <color rgb="FFFF3300"/>
      <color rgb="FF983B3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baseline="0"/>
              <a:t>Gráfico de Frequência - Produção Docente GESTEC</a:t>
            </a:r>
            <a:endParaRPr lang="pt-B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lineChart>
        <c:grouping val="stacke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'Produção Docentes  (DATA)'!$A$38:$A$50</c:f>
              <c:strCache>
                <c:ptCount val="13"/>
                <c:pt idx="0">
                  <c:v>[000 - 050]</c:v>
                </c:pt>
                <c:pt idx="1">
                  <c:v>]050 - 100]</c:v>
                </c:pt>
                <c:pt idx="2">
                  <c:v>]100 - 150]</c:v>
                </c:pt>
                <c:pt idx="3">
                  <c:v>]150 - 200]</c:v>
                </c:pt>
                <c:pt idx="4">
                  <c:v>]200 - 250]</c:v>
                </c:pt>
                <c:pt idx="5">
                  <c:v>]250 - 300]</c:v>
                </c:pt>
                <c:pt idx="6">
                  <c:v>]300 - 350]</c:v>
                </c:pt>
                <c:pt idx="7">
                  <c:v>]350 - 400]</c:v>
                </c:pt>
                <c:pt idx="8">
                  <c:v>]400 - 450]</c:v>
                </c:pt>
                <c:pt idx="9">
                  <c:v>]450 - 500]</c:v>
                </c:pt>
                <c:pt idx="10">
                  <c:v>]500 - 550]</c:v>
                </c:pt>
                <c:pt idx="11">
                  <c:v>]550 - 600]</c:v>
                </c:pt>
                <c:pt idx="12">
                  <c:v>]600 - 5000]</c:v>
                </c:pt>
              </c:strCache>
            </c:strRef>
          </c:cat>
          <c:val>
            <c:numRef>
              <c:f>'Produção Docentes  (DATA)'!$B$38:$B$50</c:f>
              <c:numCache>
                <c:formatCode>General</c:formatCode>
                <c:ptCount val="13"/>
                <c:pt idx="0">
                  <c:v>2</c:v>
                </c:pt>
                <c:pt idx="1">
                  <c:v>1</c:v>
                </c:pt>
                <c:pt idx="2">
                  <c:v>2</c:v>
                </c:pt>
                <c:pt idx="3">
                  <c:v>1</c:v>
                </c:pt>
                <c:pt idx="4">
                  <c:v>6</c:v>
                </c:pt>
                <c:pt idx="5">
                  <c:v>1</c:v>
                </c:pt>
                <c:pt idx="6">
                  <c:v>3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E3-47A1-BE2D-D55C616C1928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414132063"/>
        <c:axId val="410900815"/>
      </c:lineChart>
      <c:catAx>
        <c:axId val="414132063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 sz="1100" b="1"/>
                  <a:t>Intervalos de Pontuação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10900815"/>
        <c:crosses val="autoZero"/>
        <c:auto val="1"/>
        <c:lblAlgn val="ctr"/>
        <c:lblOffset val="100"/>
        <c:noMultiLvlLbl val="0"/>
      </c:catAx>
      <c:valAx>
        <c:axId val="41090081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 sz="1200" b="1"/>
                  <a:t>Qt Docentes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141320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baseline="0"/>
              <a:t>Gráfico de Frequência - Produção Docente GESTEC</a:t>
            </a:r>
            <a:endParaRPr lang="pt-B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lineChart>
        <c:grouping val="stacke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'Produção Docentes  (área 1)'!$A$29:$A$41</c:f>
              <c:strCache>
                <c:ptCount val="13"/>
                <c:pt idx="0">
                  <c:v>[000 - 050]</c:v>
                </c:pt>
                <c:pt idx="1">
                  <c:v>]050 - 100]</c:v>
                </c:pt>
                <c:pt idx="2">
                  <c:v>]100 - 150]</c:v>
                </c:pt>
                <c:pt idx="3">
                  <c:v>]150 - 200]</c:v>
                </c:pt>
                <c:pt idx="4">
                  <c:v>]200 - 250]</c:v>
                </c:pt>
                <c:pt idx="5">
                  <c:v>]250 - 300]</c:v>
                </c:pt>
                <c:pt idx="6">
                  <c:v>]300 - 350]</c:v>
                </c:pt>
                <c:pt idx="7">
                  <c:v>]350 - 400]</c:v>
                </c:pt>
                <c:pt idx="8">
                  <c:v>]400 - 450]</c:v>
                </c:pt>
                <c:pt idx="9">
                  <c:v>]450 - 500]</c:v>
                </c:pt>
                <c:pt idx="10">
                  <c:v>]500 - 550]</c:v>
                </c:pt>
                <c:pt idx="11">
                  <c:v>]550 - 600]</c:v>
                </c:pt>
                <c:pt idx="12">
                  <c:v>]600 - 5000]</c:v>
                </c:pt>
              </c:strCache>
            </c:strRef>
          </c:cat>
          <c:val>
            <c:numRef>
              <c:f>'Produção Docentes  (área 1)'!$B$29:$B$41</c:f>
              <c:numCache>
                <c:formatCode>General</c:formatCode>
                <c:ptCount val="13"/>
                <c:pt idx="0">
                  <c:v>1</c:v>
                </c:pt>
                <c:pt idx="1">
                  <c:v>1</c:v>
                </c:pt>
                <c:pt idx="2">
                  <c:v>2</c:v>
                </c:pt>
                <c:pt idx="3">
                  <c:v>1</c:v>
                </c:pt>
                <c:pt idx="4">
                  <c:v>2</c:v>
                </c:pt>
                <c:pt idx="5">
                  <c:v>0</c:v>
                </c:pt>
                <c:pt idx="6">
                  <c:v>2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7D-41BC-B8E0-F1C7C7FDF6AA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414132063"/>
        <c:axId val="410900815"/>
      </c:lineChart>
      <c:catAx>
        <c:axId val="414132063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 sz="1100" b="1"/>
                  <a:t>Intervalos de Pontuação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10900815"/>
        <c:crosses val="autoZero"/>
        <c:auto val="1"/>
        <c:lblAlgn val="ctr"/>
        <c:lblOffset val="100"/>
        <c:noMultiLvlLbl val="0"/>
      </c:catAx>
      <c:valAx>
        <c:axId val="41090081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 sz="1200" b="1"/>
                  <a:t>Qt Docentes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141320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baseline="0"/>
              <a:t>Gráfico de Frequência - Produção Docente GESTEC</a:t>
            </a:r>
            <a:endParaRPr lang="pt-B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lineChart>
        <c:grouping val="stacke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'Produção Docentes  (Área 2)'!$A$27:$A$39</c:f>
              <c:strCache>
                <c:ptCount val="13"/>
                <c:pt idx="0">
                  <c:v>[000 - 050]</c:v>
                </c:pt>
                <c:pt idx="1">
                  <c:v>]050 - 100]</c:v>
                </c:pt>
                <c:pt idx="2">
                  <c:v>]100 - 150]</c:v>
                </c:pt>
                <c:pt idx="3">
                  <c:v>]150 - 200]</c:v>
                </c:pt>
                <c:pt idx="4">
                  <c:v>]200 - 250]</c:v>
                </c:pt>
                <c:pt idx="5">
                  <c:v>]250 - 300]</c:v>
                </c:pt>
                <c:pt idx="6">
                  <c:v>]300 - 350]</c:v>
                </c:pt>
                <c:pt idx="7">
                  <c:v>]350 - 400]</c:v>
                </c:pt>
                <c:pt idx="8">
                  <c:v>]400 - 450]</c:v>
                </c:pt>
                <c:pt idx="9">
                  <c:v>]450 - 500]</c:v>
                </c:pt>
                <c:pt idx="10">
                  <c:v>]500 - 550]</c:v>
                </c:pt>
                <c:pt idx="11">
                  <c:v>]550 - 600]</c:v>
                </c:pt>
                <c:pt idx="12">
                  <c:v>]600 - 5000]</c:v>
                </c:pt>
              </c:strCache>
            </c:strRef>
          </c:cat>
          <c:val>
            <c:numRef>
              <c:f>'Produção Docentes  (Área 2)'!$B$27:$B$39</c:f>
              <c:numCache>
                <c:formatCode>General</c:formatCode>
                <c:ptCount val="13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4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E4-41C9-B4C1-5DE1AD8D2DEF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414132063"/>
        <c:axId val="410900815"/>
      </c:lineChart>
      <c:catAx>
        <c:axId val="414132063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 sz="1100" b="1"/>
                  <a:t>Intervalos de Pontuação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10900815"/>
        <c:crosses val="autoZero"/>
        <c:auto val="1"/>
        <c:lblAlgn val="ctr"/>
        <c:lblOffset val="100"/>
        <c:noMultiLvlLbl val="0"/>
      </c:catAx>
      <c:valAx>
        <c:axId val="41090081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 sz="1200" b="1"/>
                  <a:t>Qt Docentes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141320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baseline="0"/>
              <a:t>Gráfico de Frequência - Produção Docente GESTEC</a:t>
            </a:r>
            <a:endParaRPr lang="pt-B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lineChart>
        <c:grouping val="stacke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'Prod Doc Art, L  e CL (Data)'!$A$39:$A$51</c:f>
              <c:strCache>
                <c:ptCount val="13"/>
                <c:pt idx="0">
                  <c:v>[000 - 050]</c:v>
                </c:pt>
                <c:pt idx="1">
                  <c:v>]050 - 100]</c:v>
                </c:pt>
                <c:pt idx="2">
                  <c:v>]100 - 150]</c:v>
                </c:pt>
                <c:pt idx="3">
                  <c:v>]150 - 200]</c:v>
                </c:pt>
                <c:pt idx="4">
                  <c:v>]200 - 250]</c:v>
                </c:pt>
                <c:pt idx="5">
                  <c:v>]250 - 300]</c:v>
                </c:pt>
                <c:pt idx="6">
                  <c:v>]300 - 350]</c:v>
                </c:pt>
                <c:pt idx="7">
                  <c:v>]350 - 400]</c:v>
                </c:pt>
                <c:pt idx="8">
                  <c:v>]400 - 450]</c:v>
                </c:pt>
                <c:pt idx="9">
                  <c:v>]450 - 500]</c:v>
                </c:pt>
                <c:pt idx="10">
                  <c:v>]500 - 550]</c:v>
                </c:pt>
                <c:pt idx="11">
                  <c:v>]550 - 600]</c:v>
                </c:pt>
                <c:pt idx="12">
                  <c:v>]600 - 5000]</c:v>
                </c:pt>
              </c:strCache>
            </c:strRef>
          </c:cat>
          <c:val>
            <c:numRef>
              <c:f>'Prod Doc Art, L  e CL (Data)'!$B$39:$B$51</c:f>
              <c:numCache>
                <c:formatCode>General</c:formatCode>
                <c:ptCount val="13"/>
                <c:pt idx="0">
                  <c:v>2</c:v>
                </c:pt>
                <c:pt idx="1">
                  <c:v>1</c:v>
                </c:pt>
                <c:pt idx="2">
                  <c:v>2</c:v>
                </c:pt>
                <c:pt idx="3">
                  <c:v>1</c:v>
                </c:pt>
                <c:pt idx="4">
                  <c:v>6</c:v>
                </c:pt>
                <c:pt idx="5">
                  <c:v>1</c:v>
                </c:pt>
                <c:pt idx="6">
                  <c:v>3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F4-4B55-ABD0-62CC7442405E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414132063"/>
        <c:axId val="410900815"/>
      </c:lineChart>
      <c:catAx>
        <c:axId val="414132063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 sz="1100" b="1"/>
                  <a:t>Intervalos de Pontuação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10900815"/>
        <c:crosses val="autoZero"/>
        <c:auto val="1"/>
        <c:lblAlgn val="ctr"/>
        <c:lblOffset val="100"/>
        <c:noMultiLvlLbl val="0"/>
      </c:catAx>
      <c:valAx>
        <c:axId val="41090081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 sz="1200" b="1"/>
                  <a:t>Qt Docentes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141320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232171</xdr:colOff>
      <xdr:row>30</xdr:row>
      <xdr:rowOff>51197</xdr:rowOff>
    </xdr:from>
    <xdr:to>
      <xdr:col>15</xdr:col>
      <xdr:colOff>583405</xdr:colOff>
      <xdr:row>50</xdr:row>
      <xdr:rowOff>47625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932EBDD4-FECD-FF38-92A7-AA6484FCF3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191349</xdr:colOff>
      <xdr:row>21</xdr:row>
      <xdr:rowOff>51197</xdr:rowOff>
    </xdr:from>
    <xdr:to>
      <xdr:col>15</xdr:col>
      <xdr:colOff>542583</xdr:colOff>
      <xdr:row>41</xdr:row>
      <xdr:rowOff>47625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6918C5BC-D9A1-45D4-ADB5-91BC920E31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232171</xdr:colOff>
      <xdr:row>19</xdr:row>
      <xdr:rowOff>51197</xdr:rowOff>
    </xdr:from>
    <xdr:to>
      <xdr:col>15</xdr:col>
      <xdr:colOff>583405</xdr:colOff>
      <xdr:row>39</xdr:row>
      <xdr:rowOff>47625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661F3724-E936-44B6-8FBA-683929D817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232170</xdr:colOff>
      <xdr:row>29</xdr:row>
      <xdr:rowOff>51197</xdr:rowOff>
    </xdr:from>
    <xdr:to>
      <xdr:col>14</xdr:col>
      <xdr:colOff>802821</xdr:colOff>
      <xdr:row>52</xdr:row>
      <xdr:rowOff>13607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6EF49A0-7341-4BE0-92A9-DF4B38A96B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379FEF-DB4F-4D9E-A68E-1084822113C9}">
  <sheetPr filterMode="1"/>
  <dimension ref="A1:C27"/>
  <sheetViews>
    <sheetView workbookViewId="0">
      <selection activeCell="A2" sqref="A2:A27"/>
    </sheetView>
  </sheetViews>
  <sheetFormatPr defaultRowHeight="14.4" x14ac:dyDescent="0.3"/>
  <cols>
    <col min="1" max="1" width="37.33203125" bestFit="1" customWidth="1"/>
    <col min="2" max="2" width="14.6640625" bestFit="1" customWidth="1"/>
  </cols>
  <sheetData>
    <row r="1" spans="1:3" x14ac:dyDescent="0.3">
      <c r="A1" t="s">
        <v>64</v>
      </c>
      <c r="B1" t="s">
        <v>65</v>
      </c>
      <c r="C1" t="s">
        <v>58</v>
      </c>
    </row>
    <row r="2" spans="1:3" x14ac:dyDescent="0.3">
      <c r="A2" t="s">
        <v>66</v>
      </c>
      <c r="B2" t="s">
        <v>3</v>
      </c>
      <c r="C2">
        <v>2</v>
      </c>
    </row>
    <row r="3" spans="1:3" x14ac:dyDescent="0.3">
      <c r="A3" t="s">
        <v>67</v>
      </c>
      <c r="B3" t="s">
        <v>3</v>
      </c>
      <c r="C3">
        <v>2</v>
      </c>
    </row>
    <row r="4" spans="1:3" x14ac:dyDescent="0.3">
      <c r="A4" t="s">
        <v>68</v>
      </c>
      <c r="B4" t="s">
        <v>3</v>
      </c>
      <c r="C4">
        <v>2</v>
      </c>
    </row>
    <row r="5" spans="1:3" hidden="1" x14ac:dyDescent="0.3">
      <c r="A5" t="s">
        <v>69</v>
      </c>
      <c r="B5" t="s">
        <v>55</v>
      </c>
      <c r="C5">
        <v>1</v>
      </c>
    </row>
    <row r="6" spans="1:3" x14ac:dyDescent="0.3">
      <c r="A6" t="s">
        <v>70</v>
      </c>
      <c r="B6" t="s">
        <v>3</v>
      </c>
      <c r="C6">
        <v>1</v>
      </c>
    </row>
    <row r="7" spans="1:3" hidden="1" x14ac:dyDescent="0.3">
      <c r="A7" t="s">
        <v>71</v>
      </c>
      <c r="B7" t="s">
        <v>2</v>
      </c>
      <c r="C7">
        <v>1</v>
      </c>
    </row>
    <row r="8" spans="1:3" x14ac:dyDescent="0.3">
      <c r="A8" t="s">
        <v>72</v>
      </c>
      <c r="B8" t="s">
        <v>3</v>
      </c>
      <c r="C8">
        <v>1</v>
      </c>
    </row>
    <row r="9" spans="1:3" hidden="1" x14ac:dyDescent="0.3">
      <c r="A9" t="s">
        <v>73</v>
      </c>
      <c r="B9" t="s">
        <v>4</v>
      </c>
      <c r="C9">
        <v>1</v>
      </c>
    </row>
    <row r="10" spans="1:3" x14ac:dyDescent="0.3">
      <c r="A10" t="s">
        <v>74</v>
      </c>
      <c r="B10" t="s">
        <v>3</v>
      </c>
      <c r="C10">
        <v>1</v>
      </c>
    </row>
    <row r="11" spans="1:3" hidden="1" x14ac:dyDescent="0.3">
      <c r="A11" t="s">
        <v>75</v>
      </c>
      <c r="B11" t="s">
        <v>54</v>
      </c>
      <c r="C11">
        <v>2</v>
      </c>
    </row>
    <row r="12" spans="1:3" s="1" customFormat="1" x14ac:dyDescent="0.3">
      <c r="A12" t="s">
        <v>76</v>
      </c>
      <c r="B12" t="s">
        <v>3</v>
      </c>
      <c r="C12" s="1">
        <v>2</v>
      </c>
    </row>
    <row r="13" spans="1:3" x14ac:dyDescent="0.3">
      <c r="A13" t="s">
        <v>77</v>
      </c>
      <c r="B13" t="s">
        <v>3</v>
      </c>
      <c r="C13">
        <v>2</v>
      </c>
    </row>
    <row r="14" spans="1:3" s="1" customFormat="1" x14ac:dyDescent="0.3">
      <c r="A14" t="s">
        <v>78</v>
      </c>
      <c r="B14" t="s">
        <v>3</v>
      </c>
      <c r="C14" s="1">
        <v>1</v>
      </c>
    </row>
    <row r="15" spans="1:3" hidden="1" x14ac:dyDescent="0.3">
      <c r="A15" t="s">
        <v>79</v>
      </c>
      <c r="B15" t="s">
        <v>4</v>
      </c>
      <c r="C15">
        <v>1</v>
      </c>
    </row>
    <row r="16" spans="1:3" x14ac:dyDescent="0.3">
      <c r="A16" t="s">
        <v>80</v>
      </c>
      <c r="B16" t="s">
        <v>3</v>
      </c>
      <c r="C16" s="1">
        <v>1</v>
      </c>
    </row>
    <row r="17" spans="1:3" x14ac:dyDescent="0.3">
      <c r="A17" t="s">
        <v>81</v>
      </c>
      <c r="B17" t="s">
        <v>3</v>
      </c>
      <c r="C17">
        <v>2</v>
      </c>
    </row>
    <row r="18" spans="1:3" x14ac:dyDescent="0.3">
      <c r="A18" t="s">
        <v>82</v>
      </c>
      <c r="B18" t="s">
        <v>3</v>
      </c>
      <c r="C18" s="1">
        <v>1</v>
      </c>
    </row>
    <row r="19" spans="1:3" x14ac:dyDescent="0.3">
      <c r="A19" t="s">
        <v>83</v>
      </c>
      <c r="B19" t="s">
        <v>3</v>
      </c>
      <c r="C19">
        <v>1</v>
      </c>
    </row>
    <row r="20" spans="1:3" x14ac:dyDescent="0.3">
      <c r="A20" t="s">
        <v>84</v>
      </c>
      <c r="B20" t="s">
        <v>3</v>
      </c>
      <c r="C20" s="1">
        <v>1</v>
      </c>
    </row>
    <row r="21" spans="1:3" x14ac:dyDescent="0.3">
      <c r="A21" t="s">
        <v>85</v>
      </c>
      <c r="B21" t="s">
        <v>3</v>
      </c>
      <c r="C21">
        <v>2</v>
      </c>
    </row>
    <row r="22" spans="1:3" x14ac:dyDescent="0.3">
      <c r="A22" t="s">
        <v>86</v>
      </c>
      <c r="B22" t="s">
        <v>3</v>
      </c>
      <c r="C22" s="1">
        <v>2</v>
      </c>
    </row>
    <row r="23" spans="1:3" hidden="1" x14ac:dyDescent="0.3">
      <c r="A23" t="s">
        <v>87</v>
      </c>
      <c r="B23" t="s">
        <v>2</v>
      </c>
      <c r="C23">
        <v>1</v>
      </c>
    </row>
    <row r="24" spans="1:3" x14ac:dyDescent="0.3">
      <c r="A24" t="s">
        <v>88</v>
      </c>
      <c r="B24" t="s">
        <v>3</v>
      </c>
      <c r="C24" s="1">
        <v>1</v>
      </c>
    </row>
    <row r="25" spans="1:3" x14ac:dyDescent="0.3">
      <c r="A25" t="s">
        <v>89</v>
      </c>
      <c r="B25" t="s">
        <v>3</v>
      </c>
      <c r="C25">
        <v>1</v>
      </c>
    </row>
    <row r="26" spans="1:3" x14ac:dyDescent="0.3">
      <c r="A26" t="s">
        <v>90</v>
      </c>
      <c r="B26" t="s">
        <v>3</v>
      </c>
      <c r="C26" s="1">
        <v>1</v>
      </c>
    </row>
    <row r="27" spans="1:3" x14ac:dyDescent="0.3">
      <c r="A27" t="s">
        <v>91</v>
      </c>
      <c r="B27" t="s">
        <v>3</v>
      </c>
      <c r="C27">
        <v>2</v>
      </c>
    </row>
  </sheetData>
  <autoFilter ref="A1:C27" xr:uid="{20379FEF-DB4F-4D9E-A68E-1084822113C9}">
    <filterColumn colId="1">
      <filters>
        <filter val="PERMANENTE"/>
      </filters>
    </filterColumn>
  </autoFilter>
  <phoneticPr fontId="6" type="noConversion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3711AD-755D-44DF-B484-985A7DD7F0F1}">
  <dimension ref="A1:H27"/>
  <sheetViews>
    <sheetView workbookViewId="0">
      <selection activeCell="D2" sqref="D2:D21"/>
    </sheetView>
  </sheetViews>
  <sheetFormatPr defaultRowHeight="14.4" x14ac:dyDescent="0.3"/>
  <cols>
    <col min="1" max="1" width="37.33203125" bestFit="1" customWidth="1"/>
    <col min="2" max="2" width="14.6640625" bestFit="1" customWidth="1"/>
    <col min="4" max="4" width="37.33203125" bestFit="1" customWidth="1"/>
    <col min="5" max="5" width="14.6640625" bestFit="1" customWidth="1"/>
  </cols>
  <sheetData>
    <row r="1" spans="1:8" x14ac:dyDescent="0.3">
      <c r="A1" t="s">
        <v>64</v>
      </c>
      <c r="B1" t="s">
        <v>65</v>
      </c>
      <c r="D1" t="s">
        <v>56</v>
      </c>
      <c r="E1" t="s">
        <v>3</v>
      </c>
      <c r="F1" t="s">
        <v>57</v>
      </c>
      <c r="G1" t="s">
        <v>58</v>
      </c>
      <c r="H1" t="s">
        <v>59</v>
      </c>
    </row>
    <row r="2" spans="1:8" x14ac:dyDescent="0.3">
      <c r="A2" t="s">
        <v>66</v>
      </c>
      <c r="B2" t="s">
        <v>3</v>
      </c>
      <c r="D2" t="s">
        <v>66</v>
      </c>
      <c r="E2" t="s">
        <v>3</v>
      </c>
      <c r="F2">
        <v>1</v>
      </c>
      <c r="G2">
        <v>2</v>
      </c>
      <c r="H2">
        <v>1</v>
      </c>
    </row>
    <row r="3" spans="1:8" x14ac:dyDescent="0.3">
      <c r="A3" t="s">
        <v>67</v>
      </c>
      <c r="B3" t="s">
        <v>3</v>
      </c>
      <c r="D3" t="s">
        <v>67</v>
      </c>
      <c r="E3" t="s">
        <v>3</v>
      </c>
      <c r="F3">
        <v>2</v>
      </c>
      <c r="G3">
        <v>2</v>
      </c>
      <c r="H3">
        <v>2</v>
      </c>
    </row>
    <row r="4" spans="1:8" x14ac:dyDescent="0.3">
      <c r="A4" t="s">
        <v>68</v>
      </c>
      <c r="B4" t="s">
        <v>3</v>
      </c>
      <c r="D4" t="s">
        <v>68</v>
      </c>
      <c r="E4" t="s">
        <v>3</v>
      </c>
      <c r="F4">
        <v>3</v>
      </c>
      <c r="G4">
        <v>2</v>
      </c>
      <c r="H4">
        <v>3</v>
      </c>
    </row>
    <row r="5" spans="1:8" x14ac:dyDescent="0.3">
      <c r="A5" t="s">
        <v>69</v>
      </c>
      <c r="B5" t="s">
        <v>55</v>
      </c>
      <c r="D5" t="s">
        <v>70</v>
      </c>
      <c r="E5" t="s">
        <v>3</v>
      </c>
      <c r="F5">
        <v>4</v>
      </c>
      <c r="G5">
        <v>1</v>
      </c>
      <c r="H5">
        <v>1</v>
      </c>
    </row>
    <row r="6" spans="1:8" x14ac:dyDescent="0.3">
      <c r="A6" t="s">
        <v>70</v>
      </c>
      <c r="B6" t="s">
        <v>3</v>
      </c>
      <c r="D6" t="s">
        <v>72</v>
      </c>
      <c r="E6" t="s">
        <v>3</v>
      </c>
      <c r="F6">
        <v>5</v>
      </c>
      <c r="G6">
        <v>1</v>
      </c>
      <c r="H6">
        <v>2</v>
      </c>
    </row>
    <row r="7" spans="1:8" x14ac:dyDescent="0.3">
      <c r="A7" t="s">
        <v>71</v>
      </c>
      <c r="B7" t="s">
        <v>2</v>
      </c>
      <c r="D7" t="s">
        <v>74</v>
      </c>
      <c r="E7" t="s">
        <v>3</v>
      </c>
      <c r="F7">
        <v>6</v>
      </c>
      <c r="G7">
        <v>2</v>
      </c>
      <c r="H7">
        <v>4</v>
      </c>
    </row>
    <row r="8" spans="1:8" x14ac:dyDescent="0.3">
      <c r="A8" t="s">
        <v>72</v>
      </c>
      <c r="B8" t="s">
        <v>3</v>
      </c>
      <c r="D8" t="s">
        <v>76</v>
      </c>
      <c r="E8" t="s">
        <v>3</v>
      </c>
      <c r="F8">
        <v>7</v>
      </c>
      <c r="G8">
        <v>1</v>
      </c>
      <c r="H8">
        <v>3</v>
      </c>
    </row>
    <row r="9" spans="1:8" x14ac:dyDescent="0.3">
      <c r="A9" t="s">
        <v>73</v>
      </c>
      <c r="B9" t="s">
        <v>4</v>
      </c>
      <c r="D9" t="s">
        <v>77</v>
      </c>
      <c r="E9" t="s">
        <v>3</v>
      </c>
      <c r="F9">
        <v>8</v>
      </c>
      <c r="G9">
        <v>1</v>
      </c>
      <c r="H9">
        <v>4</v>
      </c>
    </row>
    <row r="10" spans="1:8" x14ac:dyDescent="0.3">
      <c r="A10" t="s">
        <v>74</v>
      </c>
      <c r="B10" t="s">
        <v>3</v>
      </c>
      <c r="D10" t="s">
        <v>78</v>
      </c>
      <c r="E10" t="s">
        <v>3</v>
      </c>
      <c r="F10">
        <v>9</v>
      </c>
      <c r="G10">
        <v>1</v>
      </c>
      <c r="H10">
        <v>5</v>
      </c>
    </row>
    <row r="11" spans="1:8" x14ac:dyDescent="0.3">
      <c r="A11" t="s">
        <v>75</v>
      </c>
      <c r="B11" t="s">
        <v>54</v>
      </c>
      <c r="D11" t="s">
        <v>80</v>
      </c>
      <c r="E11" t="s">
        <v>3</v>
      </c>
      <c r="F11">
        <v>10</v>
      </c>
      <c r="G11">
        <v>2</v>
      </c>
      <c r="H11">
        <v>5</v>
      </c>
    </row>
    <row r="12" spans="1:8" s="1" customFormat="1" x14ac:dyDescent="0.3">
      <c r="A12" t="s">
        <v>76</v>
      </c>
      <c r="B12" t="s">
        <v>3</v>
      </c>
      <c r="D12" t="s">
        <v>81</v>
      </c>
      <c r="E12" t="s">
        <v>3</v>
      </c>
      <c r="F12">
        <v>11</v>
      </c>
      <c r="G12" s="1">
        <v>2</v>
      </c>
      <c r="H12" s="1">
        <v>6</v>
      </c>
    </row>
    <row r="13" spans="1:8" x14ac:dyDescent="0.3">
      <c r="A13" t="s">
        <v>77</v>
      </c>
      <c r="B13" t="s">
        <v>3</v>
      </c>
      <c r="D13" t="s">
        <v>82</v>
      </c>
      <c r="E13" t="s">
        <v>3</v>
      </c>
      <c r="F13">
        <v>12</v>
      </c>
      <c r="G13">
        <v>2</v>
      </c>
      <c r="H13">
        <v>7</v>
      </c>
    </row>
    <row r="14" spans="1:8" s="1" customFormat="1" x14ac:dyDescent="0.3">
      <c r="A14" t="s">
        <v>78</v>
      </c>
      <c r="B14" t="s">
        <v>3</v>
      </c>
      <c r="D14" t="s">
        <v>83</v>
      </c>
      <c r="E14" t="s">
        <v>3</v>
      </c>
      <c r="F14">
        <v>13</v>
      </c>
      <c r="G14" s="1">
        <v>1</v>
      </c>
      <c r="H14" s="1">
        <v>6</v>
      </c>
    </row>
    <row r="15" spans="1:8" x14ac:dyDescent="0.3">
      <c r="A15" t="s">
        <v>79</v>
      </c>
      <c r="B15" t="s">
        <v>4</v>
      </c>
      <c r="D15" t="s">
        <v>84</v>
      </c>
      <c r="E15" t="s">
        <v>3</v>
      </c>
      <c r="F15">
        <v>14</v>
      </c>
      <c r="G15">
        <v>1</v>
      </c>
      <c r="H15">
        <v>7</v>
      </c>
    </row>
    <row r="16" spans="1:8" x14ac:dyDescent="0.3">
      <c r="A16" t="s">
        <v>80</v>
      </c>
      <c r="B16" t="s">
        <v>3</v>
      </c>
      <c r="D16" t="s">
        <v>85</v>
      </c>
      <c r="E16" t="s">
        <v>3</v>
      </c>
      <c r="F16">
        <v>15</v>
      </c>
      <c r="G16" s="1">
        <v>1</v>
      </c>
      <c r="H16">
        <v>8</v>
      </c>
    </row>
    <row r="17" spans="1:8" x14ac:dyDescent="0.3">
      <c r="A17" t="s">
        <v>81</v>
      </c>
      <c r="B17" t="s">
        <v>3</v>
      </c>
      <c r="D17" t="s">
        <v>86</v>
      </c>
      <c r="E17" t="s">
        <v>3</v>
      </c>
      <c r="F17">
        <v>16</v>
      </c>
      <c r="G17">
        <v>2</v>
      </c>
      <c r="H17">
        <v>8</v>
      </c>
    </row>
    <row r="18" spans="1:8" x14ac:dyDescent="0.3">
      <c r="A18" t="s">
        <v>82</v>
      </c>
      <c r="B18" t="s">
        <v>3</v>
      </c>
      <c r="D18" t="s">
        <v>88</v>
      </c>
      <c r="E18" t="s">
        <v>3</v>
      </c>
      <c r="F18">
        <v>17</v>
      </c>
      <c r="G18" s="1">
        <v>1</v>
      </c>
      <c r="H18">
        <v>9</v>
      </c>
    </row>
    <row r="19" spans="1:8" x14ac:dyDescent="0.3">
      <c r="A19" t="s">
        <v>83</v>
      </c>
      <c r="B19" t="s">
        <v>3</v>
      </c>
      <c r="D19" t="s">
        <v>89</v>
      </c>
      <c r="E19" t="s">
        <v>3</v>
      </c>
      <c r="F19">
        <v>18</v>
      </c>
      <c r="G19">
        <v>1</v>
      </c>
      <c r="H19">
        <v>10</v>
      </c>
    </row>
    <row r="20" spans="1:8" x14ac:dyDescent="0.3">
      <c r="A20" t="s">
        <v>84</v>
      </c>
      <c r="B20" t="s">
        <v>3</v>
      </c>
      <c r="D20" t="s">
        <v>90</v>
      </c>
      <c r="E20" t="s">
        <v>3</v>
      </c>
      <c r="F20">
        <v>19</v>
      </c>
      <c r="G20" s="1">
        <v>1</v>
      </c>
      <c r="H20">
        <v>11</v>
      </c>
    </row>
    <row r="21" spans="1:8" x14ac:dyDescent="0.3">
      <c r="A21" t="s">
        <v>85</v>
      </c>
      <c r="B21" t="s">
        <v>3</v>
      </c>
      <c r="D21" t="s">
        <v>91</v>
      </c>
      <c r="E21" t="s">
        <v>3</v>
      </c>
      <c r="F21">
        <v>20</v>
      </c>
      <c r="G21">
        <v>2</v>
      </c>
      <c r="H21">
        <v>9</v>
      </c>
    </row>
    <row r="22" spans="1:8" x14ac:dyDescent="0.3">
      <c r="A22" t="s">
        <v>86</v>
      </c>
      <c r="B22" t="s">
        <v>3</v>
      </c>
    </row>
    <row r="23" spans="1:8" x14ac:dyDescent="0.3">
      <c r="A23" t="s">
        <v>87</v>
      </c>
      <c r="B23" t="s">
        <v>2</v>
      </c>
    </row>
    <row r="24" spans="1:8" x14ac:dyDescent="0.3">
      <c r="A24" t="s">
        <v>88</v>
      </c>
      <c r="B24" t="s">
        <v>3</v>
      </c>
    </row>
    <row r="25" spans="1:8" x14ac:dyDescent="0.3">
      <c r="A25" t="s">
        <v>89</v>
      </c>
      <c r="B25" t="s">
        <v>3</v>
      </c>
    </row>
    <row r="26" spans="1:8" x14ac:dyDescent="0.3">
      <c r="A26" t="s">
        <v>90</v>
      </c>
      <c r="B26" t="s">
        <v>3</v>
      </c>
    </row>
    <row r="27" spans="1:8" x14ac:dyDescent="0.3">
      <c r="A27" t="s">
        <v>91</v>
      </c>
      <c r="B27" t="s">
        <v>3</v>
      </c>
    </row>
  </sheetData>
  <autoFilter ref="A1:B27" xr:uid="{20379FEF-DB4F-4D9E-A68E-1084822113C9}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7EE520-9495-44F8-8E7D-796D3406DD42}">
  <sheetPr codeName="Planilha1">
    <pageSetUpPr fitToPage="1"/>
  </sheetPr>
  <dimension ref="A1:Q51"/>
  <sheetViews>
    <sheetView zoomScale="70" zoomScaleNormal="70" workbookViewId="0">
      <selection activeCell="A15" sqref="A15"/>
    </sheetView>
  </sheetViews>
  <sheetFormatPr defaultRowHeight="14.4" x14ac:dyDescent="0.3"/>
  <cols>
    <col min="1" max="1" width="65.6640625" bestFit="1" customWidth="1"/>
    <col min="2" max="2" width="14.6640625" bestFit="1" customWidth="1"/>
    <col min="3" max="3" width="5.5546875" bestFit="1" customWidth="1"/>
    <col min="4" max="4" width="7.44140625" bestFit="1" customWidth="1"/>
    <col min="5" max="5" width="5.5546875" bestFit="1" customWidth="1"/>
    <col min="6" max="6" width="7.44140625" bestFit="1" customWidth="1"/>
    <col min="7" max="10" width="5.44140625" bestFit="1" customWidth="1"/>
    <col min="11" max="11" width="4.44140625" bestFit="1" customWidth="1"/>
    <col min="12" max="12" width="4.6640625" customWidth="1"/>
    <col min="13" max="13" width="23" customWidth="1"/>
    <col min="14" max="14" width="27" bestFit="1" customWidth="1"/>
    <col min="15" max="15" width="10.6640625" customWidth="1"/>
    <col min="16" max="16" width="23.44140625" customWidth="1"/>
    <col min="17" max="17" width="39.109375" customWidth="1"/>
  </cols>
  <sheetData>
    <row r="1" spans="1:17" ht="25.8" x14ac:dyDescent="0.5">
      <c r="A1" s="33" t="s">
        <v>92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</row>
    <row r="2" spans="1:17" ht="67.5" customHeight="1" x14ac:dyDescent="0.3">
      <c r="A2" s="31" t="s">
        <v>0</v>
      </c>
      <c r="B2" s="24" t="s">
        <v>1</v>
      </c>
      <c r="C2" s="24" t="s">
        <v>5</v>
      </c>
      <c r="D2" s="24" t="s">
        <v>6</v>
      </c>
      <c r="E2" s="24" t="s">
        <v>7</v>
      </c>
      <c r="F2" s="24" t="s">
        <v>8</v>
      </c>
      <c r="G2" s="24" t="s">
        <v>9</v>
      </c>
      <c r="H2" s="24" t="s">
        <v>10</v>
      </c>
      <c r="I2" s="24" t="s">
        <v>11</v>
      </c>
      <c r="J2" s="24" t="s">
        <v>12</v>
      </c>
      <c r="K2" s="24" t="s">
        <v>13</v>
      </c>
      <c r="L2" s="24" t="s">
        <v>15</v>
      </c>
      <c r="M2" s="19" t="s">
        <v>14</v>
      </c>
      <c r="N2" s="18" t="s">
        <v>49</v>
      </c>
      <c r="O2" s="18" t="s">
        <v>60</v>
      </c>
      <c r="P2" s="18" t="s">
        <v>19</v>
      </c>
      <c r="Q2" s="18" t="s">
        <v>51</v>
      </c>
    </row>
    <row r="3" spans="1:17" x14ac:dyDescent="0.3">
      <c r="A3" s="30" t="s">
        <v>66</v>
      </c>
      <c r="B3" s="12" t="s">
        <v>3</v>
      </c>
      <c r="C3" s="13">
        <v>0</v>
      </c>
      <c r="D3" s="13">
        <v>0</v>
      </c>
      <c r="E3" s="13">
        <v>75</v>
      </c>
      <c r="F3" s="13">
        <v>65</v>
      </c>
      <c r="G3" s="13">
        <v>55</v>
      </c>
      <c r="H3" s="13">
        <v>0</v>
      </c>
      <c r="I3" s="13">
        <v>25</v>
      </c>
      <c r="J3" s="13">
        <v>0</v>
      </c>
      <c r="K3" s="13">
        <v>0</v>
      </c>
      <c r="L3" s="13">
        <v>0</v>
      </c>
      <c r="M3" s="14">
        <f>SUM(C3:L3)</f>
        <v>220</v>
      </c>
      <c r="N3" s="12" t="str">
        <f>IF(M3&gt;=$B$30,"Na média de produção","ABAIXO")</f>
        <v>Na média de produção</v>
      </c>
      <c r="O3" s="24">
        <v>2</v>
      </c>
      <c r="P3" s="15">
        <f>$B$30-M3</f>
        <v>-20</v>
      </c>
      <c r="Q3" s="28" t="str">
        <f t="shared" ref="Q3:Q22" si="0">IF(P3&lt;=0,"Atendeu a Demanda",IF(P3&lt;=$B$33,"Alta possibilidade de atendimento","Baixa Possibilidade de Atendimento"))</f>
        <v>Atendeu a Demanda</v>
      </c>
    </row>
    <row r="4" spans="1:17" x14ac:dyDescent="0.3">
      <c r="A4" s="30" t="s">
        <v>67</v>
      </c>
      <c r="B4" s="12" t="s">
        <v>3</v>
      </c>
      <c r="C4" s="13">
        <v>0</v>
      </c>
      <c r="D4" s="13">
        <v>0</v>
      </c>
      <c r="E4" s="13">
        <v>0</v>
      </c>
      <c r="F4" s="13">
        <v>0</v>
      </c>
      <c r="G4" s="13">
        <v>0</v>
      </c>
      <c r="H4" s="13">
        <v>0</v>
      </c>
      <c r="I4" s="13">
        <v>0</v>
      </c>
      <c r="J4" s="13">
        <v>0</v>
      </c>
      <c r="K4" s="13">
        <v>0</v>
      </c>
      <c r="L4" s="13">
        <v>0</v>
      </c>
      <c r="M4" s="13">
        <f t="shared" ref="M4:M22" si="1">SUM(C4:L4)</f>
        <v>0</v>
      </c>
      <c r="N4" s="12" t="str">
        <f t="shared" ref="N4:N22" si="2">IF(M4&gt;=$B$30,"Na média de produção","ABAIXO")</f>
        <v>ABAIXO</v>
      </c>
      <c r="O4" s="24">
        <v>2</v>
      </c>
      <c r="P4" s="15">
        <f t="shared" ref="P4:P22" si="3">$B$30-M4</f>
        <v>200</v>
      </c>
      <c r="Q4" s="29" t="str">
        <f t="shared" si="0"/>
        <v>Baixa Possibilidade de Atendimento</v>
      </c>
    </row>
    <row r="5" spans="1:17" x14ac:dyDescent="0.3">
      <c r="A5" s="30" t="s">
        <v>68</v>
      </c>
      <c r="B5" s="12" t="s">
        <v>3</v>
      </c>
      <c r="C5" s="13">
        <v>0</v>
      </c>
      <c r="D5" s="13">
        <v>85</v>
      </c>
      <c r="E5" s="13">
        <v>0</v>
      </c>
      <c r="F5" s="13">
        <v>130</v>
      </c>
      <c r="G5" s="13">
        <v>0</v>
      </c>
      <c r="H5" s="13">
        <v>40</v>
      </c>
      <c r="I5" s="13">
        <v>0</v>
      </c>
      <c r="J5" s="13">
        <v>20</v>
      </c>
      <c r="K5" s="13">
        <v>0</v>
      </c>
      <c r="L5" s="13">
        <v>0</v>
      </c>
      <c r="M5" s="13">
        <f t="shared" si="1"/>
        <v>275</v>
      </c>
      <c r="N5" s="12" t="str">
        <f t="shared" si="2"/>
        <v>Na média de produção</v>
      </c>
      <c r="O5" s="24">
        <v>2</v>
      </c>
      <c r="P5" s="15">
        <f t="shared" si="3"/>
        <v>-75</v>
      </c>
      <c r="Q5" s="28" t="str">
        <f t="shared" si="0"/>
        <v>Atendeu a Demanda</v>
      </c>
    </row>
    <row r="6" spans="1:17" x14ac:dyDescent="0.3">
      <c r="A6" s="30" t="s">
        <v>70</v>
      </c>
      <c r="B6" s="12" t="s">
        <v>3</v>
      </c>
      <c r="C6" s="13">
        <v>100</v>
      </c>
      <c r="D6" s="13">
        <v>170</v>
      </c>
      <c r="E6" s="13">
        <v>150</v>
      </c>
      <c r="F6" s="13">
        <v>0</v>
      </c>
      <c r="G6" s="13">
        <v>55</v>
      </c>
      <c r="H6" s="13">
        <v>0</v>
      </c>
      <c r="I6" s="13">
        <v>0</v>
      </c>
      <c r="J6" s="13">
        <v>0</v>
      </c>
      <c r="K6" s="13">
        <v>0</v>
      </c>
      <c r="L6" s="13">
        <v>0</v>
      </c>
      <c r="M6" s="13">
        <f>SUM(C6:L6)</f>
        <v>475</v>
      </c>
      <c r="N6" s="12" t="str">
        <f t="shared" si="2"/>
        <v>Na média de produção</v>
      </c>
      <c r="O6" s="24">
        <v>1</v>
      </c>
      <c r="P6" s="15">
        <f t="shared" si="3"/>
        <v>-275</v>
      </c>
      <c r="Q6" s="28" t="str">
        <f t="shared" si="0"/>
        <v>Atendeu a Demanda</v>
      </c>
    </row>
    <row r="7" spans="1:17" x14ac:dyDescent="0.3">
      <c r="A7" s="30" t="s">
        <v>72</v>
      </c>
      <c r="B7" s="12" t="s">
        <v>3</v>
      </c>
      <c r="C7" s="13">
        <v>0</v>
      </c>
      <c r="D7" s="13">
        <v>85</v>
      </c>
      <c r="E7" s="13">
        <v>0</v>
      </c>
      <c r="F7" s="13">
        <v>130</v>
      </c>
      <c r="G7" s="13">
        <v>0</v>
      </c>
      <c r="H7" s="13">
        <v>0</v>
      </c>
      <c r="I7" s="13">
        <v>0</v>
      </c>
      <c r="J7" s="13">
        <v>0</v>
      </c>
      <c r="K7" s="13">
        <v>0</v>
      </c>
      <c r="L7" s="13">
        <v>0</v>
      </c>
      <c r="M7" s="14">
        <f t="shared" si="1"/>
        <v>215</v>
      </c>
      <c r="N7" s="12" t="str">
        <f t="shared" si="2"/>
        <v>Na média de produção</v>
      </c>
      <c r="O7" s="24">
        <v>2</v>
      </c>
      <c r="P7" s="15">
        <f t="shared" si="3"/>
        <v>-15</v>
      </c>
      <c r="Q7" s="28" t="str">
        <f t="shared" si="0"/>
        <v>Atendeu a Demanda</v>
      </c>
    </row>
    <row r="8" spans="1:17" x14ac:dyDescent="0.3">
      <c r="A8" s="30" t="s">
        <v>74</v>
      </c>
      <c r="B8" s="12" t="s">
        <v>3</v>
      </c>
      <c r="C8" s="13">
        <v>0</v>
      </c>
      <c r="D8" s="13">
        <v>0</v>
      </c>
      <c r="E8" s="13">
        <v>75</v>
      </c>
      <c r="F8" s="13">
        <v>65</v>
      </c>
      <c r="G8" s="13">
        <v>0</v>
      </c>
      <c r="H8" s="13">
        <v>0</v>
      </c>
      <c r="I8" s="13">
        <v>0</v>
      </c>
      <c r="J8" s="13">
        <v>0</v>
      </c>
      <c r="K8" s="13">
        <v>0</v>
      </c>
      <c r="L8" s="13">
        <v>0</v>
      </c>
      <c r="M8" s="13">
        <f t="shared" si="1"/>
        <v>140</v>
      </c>
      <c r="N8" s="12" t="str">
        <f t="shared" si="2"/>
        <v>ABAIXO</v>
      </c>
      <c r="O8" s="24">
        <v>1</v>
      </c>
      <c r="P8" s="15">
        <f t="shared" si="3"/>
        <v>60</v>
      </c>
      <c r="Q8" s="20" t="str">
        <f t="shared" si="0"/>
        <v>Alta possibilidade de atendimento</v>
      </c>
    </row>
    <row r="9" spans="1:17" x14ac:dyDescent="0.3">
      <c r="A9" s="30" t="s">
        <v>76</v>
      </c>
      <c r="B9" s="12" t="s">
        <v>3</v>
      </c>
      <c r="C9" s="13">
        <v>0</v>
      </c>
      <c r="D9" s="13">
        <v>0</v>
      </c>
      <c r="E9" s="13">
        <v>0</v>
      </c>
      <c r="F9" s="13">
        <v>65</v>
      </c>
      <c r="G9" s="13">
        <v>55</v>
      </c>
      <c r="H9" s="13">
        <v>0</v>
      </c>
      <c r="I9" s="13">
        <v>0</v>
      </c>
      <c r="J9" s="13">
        <v>0</v>
      </c>
      <c r="K9" s="13">
        <v>0</v>
      </c>
      <c r="L9" s="13">
        <v>0</v>
      </c>
      <c r="M9" s="13">
        <f t="shared" si="1"/>
        <v>120</v>
      </c>
      <c r="N9" s="12" t="str">
        <f t="shared" si="2"/>
        <v>ABAIXO</v>
      </c>
      <c r="O9" s="24">
        <v>1</v>
      </c>
      <c r="P9" s="15">
        <f t="shared" si="3"/>
        <v>80</v>
      </c>
      <c r="Q9" s="20" t="str">
        <f t="shared" si="0"/>
        <v>Alta possibilidade de atendimento</v>
      </c>
    </row>
    <row r="10" spans="1:17" x14ac:dyDescent="0.3">
      <c r="A10" s="30" t="s">
        <v>77</v>
      </c>
      <c r="B10" s="12" t="s">
        <v>3</v>
      </c>
      <c r="C10" s="13">
        <v>0</v>
      </c>
      <c r="D10" s="13">
        <v>0</v>
      </c>
      <c r="E10" s="13">
        <v>0</v>
      </c>
      <c r="F10" s="13">
        <v>0</v>
      </c>
      <c r="G10" s="13">
        <v>0</v>
      </c>
      <c r="H10" s="13">
        <v>0</v>
      </c>
      <c r="I10" s="13">
        <v>0</v>
      </c>
      <c r="J10" s="13">
        <v>0</v>
      </c>
      <c r="K10" s="13">
        <v>0</v>
      </c>
      <c r="L10" s="13">
        <v>0</v>
      </c>
      <c r="M10" s="13">
        <f t="shared" si="1"/>
        <v>0</v>
      </c>
      <c r="N10" s="12" t="str">
        <f t="shared" si="2"/>
        <v>ABAIXO</v>
      </c>
      <c r="O10" s="24">
        <v>1</v>
      </c>
      <c r="P10" s="15">
        <f t="shared" si="3"/>
        <v>200</v>
      </c>
      <c r="Q10" s="29" t="str">
        <f t="shared" si="0"/>
        <v>Baixa Possibilidade de Atendimento</v>
      </c>
    </row>
    <row r="11" spans="1:17" x14ac:dyDescent="0.3">
      <c r="A11" s="30" t="s">
        <v>78</v>
      </c>
      <c r="B11" s="12" t="s">
        <v>3</v>
      </c>
      <c r="C11" s="13">
        <v>0</v>
      </c>
      <c r="D11" s="13">
        <v>85</v>
      </c>
      <c r="E11" s="13">
        <v>0</v>
      </c>
      <c r="F11" s="13">
        <v>65</v>
      </c>
      <c r="G11" s="13">
        <v>55</v>
      </c>
      <c r="H11" s="13">
        <v>0</v>
      </c>
      <c r="I11" s="13">
        <v>0</v>
      </c>
      <c r="J11" s="13">
        <v>0</v>
      </c>
      <c r="K11" s="13">
        <v>0</v>
      </c>
      <c r="L11" s="13">
        <v>0</v>
      </c>
      <c r="M11" s="14">
        <f t="shared" si="1"/>
        <v>205</v>
      </c>
      <c r="N11" s="12" t="str">
        <f t="shared" si="2"/>
        <v>Na média de produção</v>
      </c>
      <c r="O11" s="24">
        <v>2</v>
      </c>
      <c r="P11" s="15">
        <f t="shared" si="3"/>
        <v>-5</v>
      </c>
      <c r="Q11" s="28" t="str">
        <f t="shared" si="0"/>
        <v>Atendeu a Demanda</v>
      </c>
    </row>
    <row r="12" spans="1:17" x14ac:dyDescent="0.3">
      <c r="A12" s="30" t="s">
        <v>80</v>
      </c>
      <c r="B12" s="12" t="s">
        <v>3</v>
      </c>
      <c r="C12" s="13">
        <v>0</v>
      </c>
      <c r="D12" s="13">
        <v>0</v>
      </c>
      <c r="E12" s="13">
        <v>0</v>
      </c>
      <c r="F12" s="13">
        <v>130</v>
      </c>
      <c r="G12" s="13">
        <v>220</v>
      </c>
      <c r="H12" s="13">
        <v>0</v>
      </c>
      <c r="I12" s="13">
        <v>50</v>
      </c>
      <c r="J12" s="13">
        <v>0</v>
      </c>
      <c r="K12" s="13">
        <v>0</v>
      </c>
      <c r="L12" s="13">
        <v>0</v>
      </c>
      <c r="M12" s="13">
        <f t="shared" si="1"/>
        <v>400</v>
      </c>
      <c r="N12" s="12" t="str">
        <f t="shared" si="2"/>
        <v>Na média de produção</v>
      </c>
      <c r="O12" s="24">
        <v>1</v>
      </c>
      <c r="P12" s="15">
        <f t="shared" si="3"/>
        <v>-200</v>
      </c>
      <c r="Q12" s="28" t="str">
        <f t="shared" si="0"/>
        <v>Atendeu a Demanda</v>
      </c>
    </row>
    <row r="13" spans="1:17" x14ac:dyDescent="0.3">
      <c r="A13" s="30" t="s">
        <v>81</v>
      </c>
      <c r="B13" s="12" t="s">
        <v>3</v>
      </c>
      <c r="C13" s="13">
        <v>100</v>
      </c>
      <c r="D13" s="13">
        <v>0</v>
      </c>
      <c r="E13" s="13">
        <v>0</v>
      </c>
      <c r="F13" s="13">
        <v>65</v>
      </c>
      <c r="G13" s="13">
        <v>55</v>
      </c>
      <c r="H13" s="13">
        <v>0</v>
      </c>
      <c r="I13" s="13">
        <v>0</v>
      </c>
      <c r="J13" s="13">
        <v>0</v>
      </c>
      <c r="K13" s="13">
        <v>0</v>
      </c>
      <c r="L13" s="13">
        <v>0</v>
      </c>
      <c r="M13" s="14">
        <f t="shared" si="1"/>
        <v>220</v>
      </c>
      <c r="N13" s="12" t="str">
        <f t="shared" si="2"/>
        <v>Na média de produção</v>
      </c>
      <c r="O13" s="24">
        <v>2</v>
      </c>
      <c r="P13" s="15">
        <f t="shared" si="3"/>
        <v>-20</v>
      </c>
      <c r="Q13" s="28" t="str">
        <f t="shared" si="0"/>
        <v>Atendeu a Demanda</v>
      </c>
    </row>
    <row r="14" spans="1:17" x14ac:dyDescent="0.3">
      <c r="A14" s="30" t="s">
        <v>82</v>
      </c>
      <c r="B14" s="12" t="s">
        <v>3</v>
      </c>
      <c r="C14" s="13">
        <v>0</v>
      </c>
      <c r="D14" s="13">
        <v>170</v>
      </c>
      <c r="E14" s="13">
        <v>75</v>
      </c>
      <c r="F14" s="13">
        <v>325</v>
      </c>
      <c r="G14" s="13">
        <v>110</v>
      </c>
      <c r="H14" s="13">
        <v>40</v>
      </c>
      <c r="I14" s="13">
        <v>0</v>
      </c>
      <c r="J14" s="13">
        <v>0</v>
      </c>
      <c r="K14" s="13">
        <v>0</v>
      </c>
      <c r="L14" s="13">
        <v>0</v>
      </c>
      <c r="M14" s="13">
        <f t="shared" si="1"/>
        <v>720</v>
      </c>
      <c r="N14" s="12" t="str">
        <f t="shared" si="2"/>
        <v>Na média de produção</v>
      </c>
      <c r="O14" s="24">
        <v>2</v>
      </c>
      <c r="P14" s="15">
        <f t="shared" si="3"/>
        <v>-520</v>
      </c>
      <c r="Q14" s="28" t="str">
        <f t="shared" si="0"/>
        <v>Atendeu a Demanda</v>
      </c>
    </row>
    <row r="15" spans="1:17" x14ac:dyDescent="0.3">
      <c r="A15" s="30" t="s">
        <v>83</v>
      </c>
      <c r="B15" s="12" t="s">
        <v>3</v>
      </c>
      <c r="C15" s="13">
        <v>0</v>
      </c>
      <c r="D15" s="13">
        <v>0</v>
      </c>
      <c r="E15" s="13">
        <v>0</v>
      </c>
      <c r="F15" s="13">
        <v>130</v>
      </c>
      <c r="G15" s="13">
        <v>110</v>
      </c>
      <c r="H15" s="13">
        <v>0</v>
      </c>
      <c r="I15" s="13">
        <v>0</v>
      </c>
      <c r="J15" s="13">
        <v>0</v>
      </c>
      <c r="K15" s="13">
        <v>0</v>
      </c>
      <c r="L15" s="13">
        <v>0</v>
      </c>
      <c r="M15" s="14">
        <f t="shared" si="1"/>
        <v>240</v>
      </c>
      <c r="N15" s="12" t="str">
        <f t="shared" si="2"/>
        <v>Na média de produção</v>
      </c>
      <c r="O15" s="24">
        <v>1</v>
      </c>
      <c r="P15" s="15">
        <f t="shared" si="3"/>
        <v>-40</v>
      </c>
      <c r="Q15" s="28" t="str">
        <f t="shared" si="0"/>
        <v>Atendeu a Demanda</v>
      </c>
    </row>
    <row r="16" spans="1:17" x14ac:dyDescent="0.3">
      <c r="A16" s="30" t="s">
        <v>84</v>
      </c>
      <c r="B16" s="12" t="s">
        <v>3</v>
      </c>
      <c r="C16" s="13">
        <v>0</v>
      </c>
      <c r="D16" s="13">
        <v>85</v>
      </c>
      <c r="E16" s="13">
        <v>150</v>
      </c>
      <c r="F16" s="13">
        <v>0</v>
      </c>
      <c r="G16" s="13">
        <v>55</v>
      </c>
      <c r="H16" s="13">
        <v>0</v>
      </c>
      <c r="I16" s="13">
        <v>25</v>
      </c>
      <c r="J16" s="13">
        <v>0</v>
      </c>
      <c r="K16" s="13">
        <v>0</v>
      </c>
      <c r="L16" s="13">
        <v>0</v>
      </c>
      <c r="M16" s="13">
        <f t="shared" si="1"/>
        <v>315</v>
      </c>
      <c r="N16" s="12" t="str">
        <f t="shared" si="2"/>
        <v>Na média de produção</v>
      </c>
      <c r="O16" s="24">
        <v>1</v>
      </c>
      <c r="P16" s="15">
        <f t="shared" si="3"/>
        <v>-115</v>
      </c>
      <c r="Q16" s="28" t="str">
        <f t="shared" si="0"/>
        <v>Atendeu a Demanda</v>
      </c>
    </row>
    <row r="17" spans="1:17" x14ac:dyDescent="0.3">
      <c r="A17" s="30" t="s">
        <v>85</v>
      </c>
      <c r="B17" s="12" t="s">
        <v>3</v>
      </c>
      <c r="C17" s="13">
        <v>0</v>
      </c>
      <c r="D17" s="13">
        <v>85</v>
      </c>
      <c r="E17" s="13">
        <v>0</v>
      </c>
      <c r="F17" s="13">
        <v>0</v>
      </c>
      <c r="G17" s="13">
        <v>0</v>
      </c>
      <c r="H17" s="13">
        <v>0</v>
      </c>
      <c r="I17" s="13">
        <v>0</v>
      </c>
      <c r="J17" s="13">
        <v>0</v>
      </c>
      <c r="K17" s="13">
        <v>0</v>
      </c>
      <c r="L17" s="13">
        <v>0</v>
      </c>
      <c r="M17" s="13">
        <f t="shared" si="1"/>
        <v>85</v>
      </c>
      <c r="N17" s="12" t="str">
        <f t="shared" si="2"/>
        <v>ABAIXO</v>
      </c>
      <c r="O17" s="24">
        <v>1</v>
      </c>
      <c r="P17" s="15">
        <f t="shared" si="3"/>
        <v>115</v>
      </c>
      <c r="Q17" s="29" t="str">
        <f t="shared" si="0"/>
        <v>Baixa Possibilidade de Atendimento</v>
      </c>
    </row>
    <row r="18" spans="1:17" x14ac:dyDescent="0.3">
      <c r="A18" s="30" t="s">
        <v>86</v>
      </c>
      <c r="B18" s="12" t="s">
        <v>3</v>
      </c>
      <c r="C18" s="13">
        <v>100</v>
      </c>
      <c r="D18" s="13">
        <v>85</v>
      </c>
      <c r="E18" s="13">
        <v>0</v>
      </c>
      <c r="F18" s="13">
        <v>260</v>
      </c>
      <c r="G18" s="13">
        <v>0</v>
      </c>
      <c r="H18" s="13">
        <v>0</v>
      </c>
      <c r="I18" s="13">
        <v>0</v>
      </c>
      <c r="J18" s="13">
        <v>0</v>
      </c>
      <c r="K18" s="13">
        <v>0</v>
      </c>
      <c r="L18" s="13">
        <v>0</v>
      </c>
      <c r="M18" s="13">
        <f t="shared" si="1"/>
        <v>445</v>
      </c>
      <c r="N18" s="12" t="str">
        <f t="shared" si="2"/>
        <v>Na média de produção</v>
      </c>
      <c r="O18" s="24">
        <v>2</v>
      </c>
      <c r="P18" s="15">
        <f t="shared" si="3"/>
        <v>-245</v>
      </c>
      <c r="Q18" s="28" t="str">
        <f t="shared" si="0"/>
        <v>Atendeu a Demanda</v>
      </c>
    </row>
    <row r="19" spans="1:17" x14ac:dyDescent="0.3">
      <c r="A19" s="30" t="s">
        <v>88</v>
      </c>
      <c r="B19" s="12" t="s">
        <v>3</v>
      </c>
      <c r="C19" s="13">
        <v>0</v>
      </c>
      <c r="D19" s="13">
        <v>170</v>
      </c>
      <c r="E19" s="13">
        <v>0</v>
      </c>
      <c r="F19" s="13">
        <v>0</v>
      </c>
      <c r="G19" s="13">
        <v>0</v>
      </c>
      <c r="H19" s="13">
        <v>0</v>
      </c>
      <c r="I19" s="13">
        <v>25</v>
      </c>
      <c r="J19" s="13">
        <v>0</v>
      </c>
      <c r="K19" s="13">
        <v>0</v>
      </c>
      <c r="L19" s="13">
        <v>0</v>
      </c>
      <c r="M19" s="14">
        <f t="shared" si="1"/>
        <v>195</v>
      </c>
      <c r="N19" s="12" t="str">
        <f t="shared" si="2"/>
        <v>ABAIXO</v>
      </c>
      <c r="O19" s="24">
        <v>1</v>
      </c>
      <c r="P19" s="15">
        <f t="shared" si="3"/>
        <v>5</v>
      </c>
      <c r="Q19" s="20" t="str">
        <f t="shared" si="0"/>
        <v>Alta possibilidade de atendimento</v>
      </c>
    </row>
    <row r="20" spans="1:17" x14ac:dyDescent="0.3">
      <c r="A20" s="30" t="s">
        <v>89</v>
      </c>
      <c r="B20" s="12" t="s">
        <v>3</v>
      </c>
      <c r="C20" s="13">
        <v>0</v>
      </c>
      <c r="D20" s="13">
        <v>85</v>
      </c>
      <c r="E20" s="13">
        <v>0</v>
      </c>
      <c r="F20" s="13">
        <v>130</v>
      </c>
      <c r="G20" s="13">
        <v>0</v>
      </c>
      <c r="H20" s="13">
        <v>0</v>
      </c>
      <c r="I20" s="13">
        <v>0</v>
      </c>
      <c r="J20" s="13">
        <v>0</v>
      </c>
      <c r="K20" s="13">
        <v>0</v>
      </c>
      <c r="L20" s="13">
        <v>0</v>
      </c>
      <c r="M20" s="14">
        <f t="shared" si="1"/>
        <v>215</v>
      </c>
      <c r="N20" s="12" t="str">
        <f t="shared" si="2"/>
        <v>Na média de produção</v>
      </c>
      <c r="O20" s="24">
        <v>1</v>
      </c>
      <c r="P20" s="15">
        <f t="shared" si="3"/>
        <v>-15</v>
      </c>
      <c r="Q20" s="28" t="str">
        <f t="shared" si="0"/>
        <v>Atendeu a Demanda</v>
      </c>
    </row>
    <row r="21" spans="1:17" x14ac:dyDescent="0.3">
      <c r="A21" s="30" t="s">
        <v>90</v>
      </c>
      <c r="B21" s="12" t="s">
        <v>3</v>
      </c>
      <c r="C21" s="13">
        <v>0</v>
      </c>
      <c r="D21" s="13">
        <v>0</v>
      </c>
      <c r="E21" s="13">
        <v>75</v>
      </c>
      <c r="F21" s="13">
        <v>195</v>
      </c>
      <c r="G21" s="13">
        <v>55</v>
      </c>
      <c r="H21" s="13">
        <v>0</v>
      </c>
      <c r="I21" s="13">
        <v>0</v>
      </c>
      <c r="J21" s="13">
        <v>10</v>
      </c>
      <c r="K21" s="13">
        <v>0</v>
      </c>
      <c r="L21" s="13">
        <v>0</v>
      </c>
      <c r="M21" s="13">
        <f t="shared" si="1"/>
        <v>335</v>
      </c>
      <c r="N21" s="12" t="str">
        <f t="shared" si="2"/>
        <v>Na média de produção</v>
      </c>
      <c r="O21" s="24">
        <v>1</v>
      </c>
      <c r="P21" s="15">
        <f t="shared" si="3"/>
        <v>-135</v>
      </c>
      <c r="Q21" s="28" t="str">
        <f t="shared" si="0"/>
        <v>Atendeu a Demanda</v>
      </c>
    </row>
    <row r="22" spans="1:17" x14ac:dyDescent="0.3">
      <c r="A22" s="30" t="s">
        <v>91</v>
      </c>
      <c r="B22" s="12" t="s">
        <v>3</v>
      </c>
      <c r="C22" s="13">
        <v>0</v>
      </c>
      <c r="D22" s="13">
        <v>85</v>
      </c>
      <c r="E22" s="13">
        <v>150</v>
      </c>
      <c r="F22" s="13">
        <v>0</v>
      </c>
      <c r="G22" s="13">
        <v>110</v>
      </c>
      <c r="H22" s="13">
        <v>0</v>
      </c>
      <c r="I22" s="13">
        <v>0</v>
      </c>
      <c r="J22" s="13">
        <v>0</v>
      </c>
      <c r="K22" s="13">
        <v>0</v>
      </c>
      <c r="L22" s="13">
        <v>0</v>
      </c>
      <c r="M22" s="13">
        <f t="shared" si="1"/>
        <v>345</v>
      </c>
      <c r="N22" s="12" t="str">
        <f t="shared" si="2"/>
        <v>Na média de produção</v>
      </c>
      <c r="O22" s="24">
        <v>2</v>
      </c>
      <c r="P22" s="15">
        <f t="shared" si="3"/>
        <v>-145</v>
      </c>
      <c r="Q22" s="28" t="str">
        <f t="shared" si="0"/>
        <v>Atendeu a Demanda</v>
      </c>
    </row>
    <row r="23" spans="1:17" x14ac:dyDescent="0.3">
      <c r="A23" s="34" t="s">
        <v>20</v>
      </c>
      <c r="B23" s="34"/>
      <c r="C23" s="8">
        <f t="shared" ref="C23:L23" si="4">SUM(C3:C22)</f>
        <v>300</v>
      </c>
      <c r="D23" s="8">
        <f t="shared" si="4"/>
        <v>1190</v>
      </c>
      <c r="E23" s="8">
        <f t="shared" si="4"/>
        <v>750</v>
      </c>
      <c r="F23" s="8">
        <f t="shared" si="4"/>
        <v>1755</v>
      </c>
      <c r="G23" s="8">
        <f t="shared" si="4"/>
        <v>935</v>
      </c>
      <c r="H23" s="8">
        <f t="shared" si="4"/>
        <v>80</v>
      </c>
      <c r="I23" s="8">
        <f t="shared" si="4"/>
        <v>125</v>
      </c>
      <c r="J23" s="8">
        <f t="shared" si="4"/>
        <v>30</v>
      </c>
      <c r="K23" s="8">
        <f t="shared" si="4"/>
        <v>0</v>
      </c>
      <c r="L23" s="8">
        <f t="shared" si="4"/>
        <v>0</v>
      </c>
      <c r="M23" s="7">
        <f>AVERAGE(M3:M22)</f>
        <v>258.25</v>
      </c>
    </row>
    <row r="24" spans="1:17" x14ac:dyDescent="0.3">
      <c r="A24" s="34" t="s">
        <v>18</v>
      </c>
      <c r="B24" s="34"/>
      <c r="C24" s="8">
        <f>C23/100</f>
        <v>3</v>
      </c>
      <c r="D24" s="8">
        <f>D23/85</f>
        <v>14</v>
      </c>
      <c r="E24" s="8">
        <f>E23/75</f>
        <v>10</v>
      </c>
      <c r="F24" s="8">
        <f>F23/65</f>
        <v>27</v>
      </c>
      <c r="G24" s="8">
        <f>G23/55</f>
        <v>17</v>
      </c>
      <c r="H24" s="8">
        <f>H23/40</f>
        <v>2</v>
      </c>
      <c r="I24" s="8">
        <f>I23/25</f>
        <v>5</v>
      </c>
      <c r="J24" s="8">
        <f>J23/10</f>
        <v>3</v>
      </c>
      <c r="K24" s="8">
        <v>0</v>
      </c>
      <c r="L24" s="8">
        <v>0</v>
      </c>
      <c r="M24" s="9">
        <f>SUM(C24:L24)</f>
        <v>81</v>
      </c>
    </row>
    <row r="25" spans="1:17" x14ac:dyDescent="0.3">
      <c r="A25" s="5"/>
      <c r="B25" s="5"/>
      <c r="C25" s="4"/>
      <c r="D25" s="4"/>
      <c r="E25" s="4"/>
      <c r="F25" s="4"/>
      <c r="G25" s="4"/>
      <c r="H25" s="4"/>
      <c r="I25" s="4"/>
      <c r="J25" s="4"/>
      <c r="K25" s="4"/>
      <c r="L25" s="4"/>
      <c r="M25" s="3"/>
    </row>
    <row r="26" spans="1:17" x14ac:dyDescent="0.3">
      <c r="A26" s="37" t="s">
        <v>46</v>
      </c>
      <c r="B26" s="37"/>
      <c r="C26" s="4"/>
      <c r="D26" s="4"/>
      <c r="E26" s="4"/>
      <c r="F26" s="4"/>
      <c r="G26" s="4"/>
      <c r="H26" s="4"/>
      <c r="I26" s="4"/>
      <c r="J26" s="4"/>
      <c r="K26" s="4"/>
      <c r="L26" s="4"/>
      <c r="M26" s="3"/>
    </row>
    <row r="27" spans="1:17" x14ac:dyDescent="0.3">
      <c r="A27" s="6" t="s">
        <v>28</v>
      </c>
      <c r="B27" s="7">
        <f>M23</f>
        <v>258.25</v>
      </c>
      <c r="C27" s="4"/>
      <c r="D27" s="4"/>
      <c r="E27" s="4"/>
      <c r="F27" s="4"/>
      <c r="G27" s="4"/>
      <c r="H27" s="4"/>
      <c r="I27" s="4"/>
      <c r="J27" s="4"/>
      <c r="K27" s="4"/>
      <c r="L27" s="4"/>
      <c r="M27" s="3"/>
    </row>
    <row r="28" spans="1:17" x14ac:dyDescent="0.3">
      <c r="A28" s="8" t="s">
        <v>17</v>
      </c>
      <c r="B28" s="7">
        <f>M23/3</f>
        <v>86.083333333333329</v>
      </c>
    </row>
    <row r="29" spans="1:17" x14ac:dyDescent="0.3">
      <c r="A29" s="8" t="s">
        <v>25</v>
      </c>
      <c r="B29" s="7">
        <f>B28*4</f>
        <v>344.33333333333331</v>
      </c>
    </row>
    <row r="30" spans="1:17" x14ac:dyDescent="0.3">
      <c r="A30" s="8" t="s">
        <v>61</v>
      </c>
      <c r="B30" s="7">
        <v>200</v>
      </c>
    </row>
    <row r="32" spans="1:17" x14ac:dyDescent="0.3">
      <c r="A32" s="35" t="s">
        <v>26</v>
      </c>
      <c r="B32" s="36"/>
    </row>
    <row r="33" spans="1:3" x14ac:dyDescent="0.3">
      <c r="A33" s="8" t="s">
        <v>22</v>
      </c>
      <c r="B33" s="7">
        <f>B28</f>
        <v>86.083333333333329</v>
      </c>
    </row>
    <row r="36" spans="1:3" x14ac:dyDescent="0.3">
      <c r="A36" s="34" t="s">
        <v>29</v>
      </c>
      <c r="B36" s="34"/>
      <c r="C36" s="34"/>
    </row>
    <row r="37" spans="1:3" x14ac:dyDescent="0.3">
      <c r="A37" s="10" t="s">
        <v>43</v>
      </c>
      <c r="B37" s="10" t="s">
        <v>44</v>
      </c>
      <c r="C37" s="10" t="s">
        <v>45</v>
      </c>
    </row>
    <row r="38" spans="1:3" x14ac:dyDescent="0.3">
      <c r="A38" s="11" t="s">
        <v>39</v>
      </c>
      <c r="B38" s="2">
        <f>COUNTIFS(M3:M22,"&lt;=50")</f>
        <v>2</v>
      </c>
      <c r="C38" s="16">
        <f>B38/$B$51*100</f>
        <v>10</v>
      </c>
    </row>
    <row r="39" spans="1:3" x14ac:dyDescent="0.3">
      <c r="A39" s="9" t="s">
        <v>38</v>
      </c>
      <c r="B39" s="2">
        <f>COUNTIFS(M3:M22,"&gt;50",M3:M22,"&lt;=100")</f>
        <v>1</v>
      </c>
      <c r="C39" s="16">
        <f t="shared" ref="C39:C50" si="5">B39/$B$51*100</f>
        <v>5</v>
      </c>
    </row>
    <row r="40" spans="1:3" x14ac:dyDescent="0.3">
      <c r="A40" s="9" t="s">
        <v>30</v>
      </c>
      <c r="B40" s="2">
        <f>COUNTIFS(M3:M22,"&gt;100",M3:M22,"&lt;=150")</f>
        <v>2</v>
      </c>
      <c r="C40" s="16">
        <f t="shared" si="5"/>
        <v>10</v>
      </c>
    </row>
    <row r="41" spans="1:3" x14ac:dyDescent="0.3">
      <c r="A41" s="9" t="s">
        <v>34</v>
      </c>
      <c r="B41" s="2">
        <f>COUNTIFS(M3:M22,"&gt;150",M3:M22,"&lt;=200")</f>
        <v>1</v>
      </c>
      <c r="C41" s="16">
        <f t="shared" si="5"/>
        <v>5</v>
      </c>
    </row>
    <row r="42" spans="1:3" x14ac:dyDescent="0.3">
      <c r="A42" s="9" t="s">
        <v>33</v>
      </c>
      <c r="B42" s="2">
        <f>COUNTIFS(M3:M22,"&gt;200",M3:M22,"&lt;=250")</f>
        <v>6</v>
      </c>
      <c r="C42" s="16">
        <f t="shared" si="5"/>
        <v>30</v>
      </c>
    </row>
    <row r="43" spans="1:3" x14ac:dyDescent="0.3">
      <c r="A43" s="9" t="s">
        <v>40</v>
      </c>
      <c r="B43" s="2">
        <f>COUNTIFS(M3:M22,"&gt;250",M3:M22,"&lt;=300")</f>
        <v>1</v>
      </c>
      <c r="C43" s="16">
        <f t="shared" si="5"/>
        <v>5</v>
      </c>
    </row>
    <row r="44" spans="1:3" x14ac:dyDescent="0.3">
      <c r="A44" s="9" t="s">
        <v>31</v>
      </c>
      <c r="B44" s="2">
        <f>COUNTIFS(M3:M22,"&gt;300",M3:M22,"&lt;=350")</f>
        <v>3</v>
      </c>
      <c r="C44" s="16">
        <f t="shared" si="5"/>
        <v>15</v>
      </c>
    </row>
    <row r="45" spans="1:3" x14ac:dyDescent="0.3">
      <c r="A45" s="9" t="s">
        <v>32</v>
      </c>
      <c r="B45" s="2">
        <f>COUNTIFS(M3:M22,"&gt;350",M3:M22,"&lt;=400")</f>
        <v>1</v>
      </c>
      <c r="C45" s="16">
        <f t="shared" si="5"/>
        <v>5</v>
      </c>
    </row>
    <row r="46" spans="1:3" x14ac:dyDescent="0.3">
      <c r="A46" s="9" t="s">
        <v>35</v>
      </c>
      <c r="B46" s="2">
        <f>COUNTIFS(M3:M22,"&gt;400",M3:M22,"&lt;=450")</f>
        <v>1</v>
      </c>
      <c r="C46" s="16">
        <f t="shared" si="5"/>
        <v>5</v>
      </c>
    </row>
    <row r="47" spans="1:3" x14ac:dyDescent="0.3">
      <c r="A47" s="9" t="s">
        <v>36</v>
      </c>
      <c r="B47" s="2">
        <f>COUNTIFS(M3:M22,"&gt;450",M3:M22,"&lt;=500")</f>
        <v>1</v>
      </c>
      <c r="C47" s="16">
        <f t="shared" si="5"/>
        <v>5</v>
      </c>
    </row>
    <row r="48" spans="1:3" x14ac:dyDescent="0.3">
      <c r="A48" s="9" t="s">
        <v>41</v>
      </c>
      <c r="B48" s="2">
        <f>COUNTIFS(M3:M22,"&gt;500",M3:M22,"&lt;=550")</f>
        <v>0</v>
      </c>
      <c r="C48" s="16">
        <f t="shared" si="5"/>
        <v>0</v>
      </c>
    </row>
    <row r="49" spans="1:3" x14ac:dyDescent="0.3">
      <c r="A49" s="9" t="s">
        <v>37</v>
      </c>
      <c r="B49" s="2">
        <f>COUNTIFS(M3:M22,"&gt;550",M3:M22,"&lt;=600")</f>
        <v>0</v>
      </c>
      <c r="C49" s="16">
        <f t="shared" si="5"/>
        <v>0</v>
      </c>
    </row>
    <row r="50" spans="1:3" x14ac:dyDescent="0.3">
      <c r="A50" s="9" t="s">
        <v>50</v>
      </c>
      <c r="B50" s="2">
        <f>COUNTIFS(M3:M22,"&gt;600",M3:M22,"&lt;=5000")</f>
        <v>1</v>
      </c>
      <c r="C50" s="16">
        <f t="shared" si="5"/>
        <v>5</v>
      </c>
    </row>
    <row r="51" spans="1:3" x14ac:dyDescent="0.3">
      <c r="A51" s="9" t="s">
        <v>42</v>
      </c>
      <c r="B51" s="2">
        <f>SUM(B38:B50)</f>
        <v>20</v>
      </c>
      <c r="C51" s="16">
        <f>SUM(C38:C50)</f>
        <v>100</v>
      </c>
    </row>
  </sheetData>
  <mergeCells count="6">
    <mergeCell ref="A1:Q1"/>
    <mergeCell ref="A36:C36"/>
    <mergeCell ref="A24:B24"/>
    <mergeCell ref="A23:B23"/>
    <mergeCell ref="A32:B32"/>
    <mergeCell ref="A26:B26"/>
  </mergeCells>
  <pageMargins left="0.511811024" right="0.511811024" top="0.78740157499999996" bottom="0.78740157499999996" header="0.31496062000000002" footer="0.31496062000000002"/>
  <pageSetup paperSize="9" scale="56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BC6FAC-451A-45BC-BC66-B50D49EFC5F5}">
  <sheetPr>
    <pageSetUpPr fitToPage="1"/>
  </sheetPr>
  <dimension ref="A1:Q42"/>
  <sheetViews>
    <sheetView zoomScale="70" zoomScaleNormal="70" workbookViewId="0">
      <selection activeCell="A11" sqref="A11"/>
    </sheetView>
  </sheetViews>
  <sheetFormatPr defaultRowHeight="14.4" x14ac:dyDescent="0.3"/>
  <cols>
    <col min="1" max="1" width="65.6640625" bestFit="1" customWidth="1"/>
    <col min="2" max="2" width="14.6640625" bestFit="1" customWidth="1"/>
    <col min="3" max="3" width="5.5546875" bestFit="1" customWidth="1"/>
    <col min="4" max="4" width="7.44140625" bestFit="1" customWidth="1"/>
    <col min="5" max="5" width="5.5546875" bestFit="1" customWidth="1"/>
    <col min="6" max="6" width="7.44140625" bestFit="1" customWidth="1"/>
    <col min="7" max="10" width="5.44140625" bestFit="1" customWidth="1"/>
    <col min="11" max="11" width="4.44140625" bestFit="1" customWidth="1"/>
    <col min="12" max="12" width="4.6640625" customWidth="1"/>
    <col min="13" max="13" width="23" customWidth="1"/>
    <col min="14" max="14" width="27" bestFit="1" customWidth="1"/>
    <col min="15" max="15" width="10.6640625" customWidth="1"/>
    <col min="16" max="16" width="23.44140625" customWidth="1"/>
    <col min="17" max="17" width="39.109375" customWidth="1"/>
  </cols>
  <sheetData>
    <row r="1" spans="1:17" ht="25.8" x14ac:dyDescent="0.5">
      <c r="A1" s="33" t="s">
        <v>92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</row>
    <row r="2" spans="1:17" ht="67.5" customHeight="1" x14ac:dyDescent="0.3">
      <c r="A2" s="23" t="s">
        <v>0</v>
      </c>
      <c r="B2" s="24" t="s">
        <v>1</v>
      </c>
      <c r="C2" s="24" t="s">
        <v>5</v>
      </c>
      <c r="D2" s="24" t="s">
        <v>6</v>
      </c>
      <c r="E2" s="24" t="s">
        <v>7</v>
      </c>
      <c r="F2" s="24" t="s">
        <v>8</v>
      </c>
      <c r="G2" s="24" t="s">
        <v>9</v>
      </c>
      <c r="H2" s="24" t="s">
        <v>10</v>
      </c>
      <c r="I2" s="24" t="s">
        <v>11</v>
      </c>
      <c r="J2" s="24" t="s">
        <v>12</v>
      </c>
      <c r="K2" s="24" t="s">
        <v>13</v>
      </c>
      <c r="L2" s="24" t="s">
        <v>15</v>
      </c>
      <c r="M2" s="19" t="s">
        <v>14</v>
      </c>
      <c r="N2" s="18" t="s">
        <v>49</v>
      </c>
      <c r="O2" s="18" t="s">
        <v>60</v>
      </c>
      <c r="P2" s="18" t="s">
        <v>19</v>
      </c>
      <c r="Q2" s="18" t="s">
        <v>51</v>
      </c>
    </row>
    <row r="3" spans="1:17" x14ac:dyDescent="0.3">
      <c r="A3" s="30" t="s">
        <v>70</v>
      </c>
      <c r="B3" s="12" t="s">
        <v>3</v>
      </c>
      <c r="C3" s="13">
        <v>100</v>
      </c>
      <c r="D3" s="13">
        <v>170</v>
      </c>
      <c r="E3" s="13">
        <v>150</v>
      </c>
      <c r="F3" s="13">
        <v>0</v>
      </c>
      <c r="G3" s="13">
        <v>55</v>
      </c>
      <c r="H3" s="13">
        <v>0</v>
      </c>
      <c r="I3" s="13">
        <v>0</v>
      </c>
      <c r="J3" s="13">
        <v>0</v>
      </c>
      <c r="K3" s="13">
        <v>0</v>
      </c>
      <c r="L3" s="13">
        <v>0</v>
      </c>
      <c r="M3" s="13">
        <f>SUM(C3:L3)</f>
        <v>475</v>
      </c>
      <c r="N3" s="12" t="str">
        <f t="shared" ref="N3:N13" si="0">IF(M3&gt;=$B$21,"Na média de produção","ABAIXO")</f>
        <v>Na média de produção</v>
      </c>
      <c r="O3" s="24">
        <v>1</v>
      </c>
      <c r="P3" s="15">
        <f t="shared" ref="P3:P13" si="1">$B$21-M3</f>
        <v>-275</v>
      </c>
      <c r="Q3" s="28" t="str">
        <f>IF(P3&lt;=0,"Atendeu a Demanda",IF(P3&lt;=$B$24,"Alta possibilidade de atendimento","Baixa Possibilidade de Atendimento"))</f>
        <v>Atendeu a Demanda</v>
      </c>
    </row>
    <row r="4" spans="1:17" x14ac:dyDescent="0.3">
      <c r="A4" s="30" t="s">
        <v>72</v>
      </c>
      <c r="B4" s="12" t="s">
        <v>3</v>
      </c>
      <c r="C4" s="13">
        <v>0</v>
      </c>
      <c r="D4" s="13">
        <v>0</v>
      </c>
      <c r="E4" s="13">
        <v>75</v>
      </c>
      <c r="F4" s="13">
        <v>65</v>
      </c>
      <c r="G4" s="13">
        <v>0</v>
      </c>
      <c r="H4" s="13">
        <v>0</v>
      </c>
      <c r="I4" s="13">
        <v>0</v>
      </c>
      <c r="J4" s="13">
        <v>0</v>
      </c>
      <c r="K4" s="13">
        <v>0</v>
      </c>
      <c r="L4" s="13">
        <v>0</v>
      </c>
      <c r="M4" s="13">
        <f t="shared" ref="M4:M13" si="2">SUM(C4:L4)</f>
        <v>140</v>
      </c>
      <c r="N4" s="12" t="str">
        <f t="shared" si="0"/>
        <v>ABAIXO</v>
      </c>
      <c r="O4" s="24">
        <v>1</v>
      </c>
      <c r="P4" s="15">
        <f t="shared" si="1"/>
        <v>60</v>
      </c>
      <c r="Q4" s="20" t="str">
        <f t="shared" ref="Q4:Q13" si="3">IF(P4&lt;=0,"Atendeu a Demanda",IF(P4&lt;=$B$24,"Alta possibilidade de atendimento","Baixa Possibilidade de Atendimento"))</f>
        <v>Alta possibilidade de atendimento</v>
      </c>
    </row>
    <row r="5" spans="1:17" x14ac:dyDescent="0.3">
      <c r="A5" s="30" t="s">
        <v>74</v>
      </c>
      <c r="B5" s="12" t="s">
        <v>3</v>
      </c>
      <c r="C5" s="13">
        <v>0</v>
      </c>
      <c r="D5" s="13">
        <v>0</v>
      </c>
      <c r="E5" s="13">
        <v>0</v>
      </c>
      <c r="F5" s="13">
        <v>65</v>
      </c>
      <c r="G5" s="13">
        <v>55</v>
      </c>
      <c r="H5" s="13">
        <v>0</v>
      </c>
      <c r="I5" s="13">
        <v>0</v>
      </c>
      <c r="J5" s="13">
        <v>0</v>
      </c>
      <c r="K5" s="13">
        <v>0</v>
      </c>
      <c r="L5" s="13">
        <v>0</v>
      </c>
      <c r="M5" s="13">
        <f t="shared" si="2"/>
        <v>120</v>
      </c>
      <c r="N5" s="12" t="str">
        <f t="shared" si="0"/>
        <v>ABAIXO</v>
      </c>
      <c r="O5" s="24">
        <v>1</v>
      </c>
      <c r="P5" s="15">
        <f t="shared" si="1"/>
        <v>80</v>
      </c>
      <c r="Q5" s="20" t="str">
        <f t="shared" si="3"/>
        <v>Alta possibilidade de atendimento</v>
      </c>
    </row>
    <row r="6" spans="1:17" x14ac:dyDescent="0.3">
      <c r="A6" s="30" t="s">
        <v>78</v>
      </c>
      <c r="B6" s="12" t="s">
        <v>3</v>
      </c>
      <c r="C6" s="13">
        <v>0</v>
      </c>
      <c r="D6" s="13">
        <v>0</v>
      </c>
      <c r="E6" s="13">
        <v>0</v>
      </c>
      <c r="F6" s="13">
        <v>0</v>
      </c>
      <c r="G6" s="13">
        <v>0</v>
      </c>
      <c r="H6" s="13">
        <v>0</v>
      </c>
      <c r="I6" s="13">
        <v>0</v>
      </c>
      <c r="J6" s="13">
        <v>0</v>
      </c>
      <c r="K6" s="13">
        <v>0</v>
      </c>
      <c r="L6" s="13">
        <v>0</v>
      </c>
      <c r="M6" s="13">
        <f t="shared" si="2"/>
        <v>0</v>
      </c>
      <c r="N6" s="12" t="str">
        <f t="shared" si="0"/>
        <v>ABAIXO</v>
      </c>
      <c r="O6" s="24">
        <v>1</v>
      </c>
      <c r="P6" s="15">
        <f t="shared" si="1"/>
        <v>200</v>
      </c>
      <c r="Q6" s="21" t="str">
        <f t="shared" si="3"/>
        <v>Baixa Possibilidade de Atendimento</v>
      </c>
    </row>
    <row r="7" spans="1:17" x14ac:dyDescent="0.3">
      <c r="A7" s="30" t="s">
        <v>80</v>
      </c>
      <c r="B7" s="12" t="s">
        <v>3</v>
      </c>
      <c r="C7" s="13">
        <v>0</v>
      </c>
      <c r="D7" s="13">
        <v>0</v>
      </c>
      <c r="E7" s="13">
        <v>0</v>
      </c>
      <c r="F7" s="13">
        <v>130</v>
      </c>
      <c r="G7" s="13">
        <v>220</v>
      </c>
      <c r="H7" s="13">
        <v>0</v>
      </c>
      <c r="I7" s="13">
        <v>50</v>
      </c>
      <c r="J7" s="13">
        <v>0</v>
      </c>
      <c r="K7" s="13">
        <v>0</v>
      </c>
      <c r="L7" s="13">
        <v>0</v>
      </c>
      <c r="M7" s="13">
        <f t="shared" si="2"/>
        <v>400</v>
      </c>
      <c r="N7" s="12" t="str">
        <f t="shared" si="0"/>
        <v>Na média de produção</v>
      </c>
      <c r="O7" s="24">
        <v>1</v>
      </c>
      <c r="P7" s="15">
        <f t="shared" si="1"/>
        <v>-200</v>
      </c>
      <c r="Q7" s="28" t="str">
        <f t="shared" si="3"/>
        <v>Atendeu a Demanda</v>
      </c>
    </row>
    <row r="8" spans="1:17" x14ac:dyDescent="0.3">
      <c r="A8" s="30" t="s">
        <v>82</v>
      </c>
      <c r="B8" s="12" t="s">
        <v>3</v>
      </c>
      <c r="C8" s="13">
        <v>0</v>
      </c>
      <c r="D8" s="13">
        <v>0</v>
      </c>
      <c r="E8" s="13">
        <v>0</v>
      </c>
      <c r="F8" s="13">
        <v>130</v>
      </c>
      <c r="G8" s="13">
        <v>110</v>
      </c>
      <c r="H8" s="13">
        <v>0</v>
      </c>
      <c r="I8" s="13">
        <v>0</v>
      </c>
      <c r="J8" s="13">
        <v>0</v>
      </c>
      <c r="K8" s="13">
        <v>0</v>
      </c>
      <c r="L8" s="13">
        <v>0</v>
      </c>
      <c r="M8" s="14">
        <f t="shared" si="2"/>
        <v>240</v>
      </c>
      <c r="N8" s="12" t="str">
        <f t="shared" si="0"/>
        <v>Na média de produção</v>
      </c>
      <c r="O8" s="24">
        <v>1</v>
      </c>
      <c r="P8" s="15">
        <f t="shared" si="1"/>
        <v>-40</v>
      </c>
      <c r="Q8" s="28" t="str">
        <f t="shared" si="3"/>
        <v>Atendeu a Demanda</v>
      </c>
    </row>
    <row r="9" spans="1:17" x14ac:dyDescent="0.3">
      <c r="A9" s="30" t="s">
        <v>83</v>
      </c>
      <c r="B9" s="12" t="s">
        <v>3</v>
      </c>
      <c r="C9" s="13">
        <v>0</v>
      </c>
      <c r="D9" s="13">
        <v>85</v>
      </c>
      <c r="E9" s="13">
        <v>150</v>
      </c>
      <c r="F9" s="13">
        <v>0</v>
      </c>
      <c r="G9" s="13">
        <v>55</v>
      </c>
      <c r="H9" s="13">
        <v>0</v>
      </c>
      <c r="I9" s="13">
        <v>25</v>
      </c>
      <c r="J9" s="13">
        <v>0</v>
      </c>
      <c r="K9" s="13">
        <v>0</v>
      </c>
      <c r="L9" s="13">
        <v>0</v>
      </c>
      <c r="M9" s="13">
        <f t="shared" si="2"/>
        <v>315</v>
      </c>
      <c r="N9" s="12" t="str">
        <f t="shared" si="0"/>
        <v>Na média de produção</v>
      </c>
      <c r="O9" s="24">
        <v>1</v>
      </c>
      <c r="P9" s="15">
        <f t="shared" si="1"/>
        <v>-115</v>
      </c>
      <c r="Q9" s="28" t="str">
        <f t="shared" si="3"/>
        <v>Atendeu a Demanda</v>
      </c>
    </row>
    <row r="10" spans="1:17" x14ac:dyDescent="0.3">
      <c r="A10" s="30" t="s">
        <v>84</v>
      </c>
      <c r="B10" s="12" t="s">
        <v>3</v>
      </c>
      <c r="C10" s="13">
        <v>0</v>
      </c>
      <c r="D10" s="13">
        <v>85</v>
      </c>
      <c r="E10" s="13">
        <v>0</v>
      </c>
      <c r="F10" s="13">
        <v>0</v>
      </c>
      <c r="G10" s="13">
        <v>0</v>
      </c>
      <c r="H10" s="13">
        <v>0</v>
      </c>
      <c r="I10" s="13">
        <v>0</v>
      </c>
      <c r="J10" s="13">
        <v>0</v>
      </c>
      <c r="K10" s="13">
        <v>0</v>
      </c>
      <c r="L10" s="13">
        <v>0</v>
      </c>
      <c r="M10" s="13">
        <f t="shared" si="2"/>
        <v>85</v>
      </c>
      <c r="N10" s="12" t="str">
        <f t="shared" si="0"/>
        <v>ABAIXO</v>
      </c>
      <c r="O10" s="24">
        <v>1</v>
      </c>
      <c r="P10" s="15">
        <f t="shared" si="1"/>
        <v>115</v>
      </c>
      <c r="Q10" s="21" t="str">
        <f t="shared" si="3"/>
        <v>Baixa Possibilidade de Atendimento</v>
      </c>
    </row>
    <row r="11" spans="1:17" x14ac:dyDescent="0.3">
      <c r="A11" s="30" t="s">
        <v>88</v>
      </c>
      <c r="B11" s="12" t="s">
        <v>3</v>
      </c>
      <c r="C11" s="13">
        <v>0</v>
      </c>
      <c r="D11" s="13">
        <v>170</v>
      </c>
      <c r="E11" s="13">
        <v>0</v>
      </c>
      <c r="F11" s="13">
        <v>0</v>
      </c>
      <c r="G11" s="13">
        <v>0</v>
      </c>
      <c r="H11" s="13">
        <v>0</v>
      </c>
      <c r="I11" s="13">
        <v>25</v>
      </c>
      <c r="J11" s="13">
        <v>0</v>
      </c>
      <c r="K11" s="13">
        <v>0</v>
      </c>
      <c r="L11" s="13">
        <v>0</v>
      </c>
      <c r="M11" s="14">
        <f t="shared" si="2"/>
        <v>195</v>
      </c>
      <c r="N11" s="12" t="str">
        <f t="shared" si="0"/>
        <v>ABAIXO</v>
      </c>
      <c r="O11" s="24">
        <v>1</v>
      </c>
      <c r="P11" s="15">
        <f t="shared" si="1"/>
        <v>5</v>
      </c>
      <c r="Q11" s="20" t="str">
        <f t="shared" si="3"/>
        <v>Alta possibilidade de atendimento</v>
      </c>
    </row>
    <row r="12" spans="1:17" x14ac:dyDescent="0.3">
      <c r="A12" s="30" t="s">
        <v>89</v>
      </c>
      <c r="B12" s="12" t="s">
        <v>3</v>
      </c>
      <c r="C12" s="13">
        <v>0</v>
      </c>
      <c r="D12" s="13">
        <v>85</v>
      </c>
      <c r="E12" s="13">
        <v>0</v>
      </c>
      <c r="F12" s="13">
        <v>130</v>
      </c>
      <c r="G12" s="13">
        <v>0</v>
      </c>
      <c r="H12" s="13">
        <v>0</v>
      </c>
      <c r="I12" s="13">
        <v>0</v>
      </c>
      <c r="J12" s="13">
        <v>0</v>
      </c>
      <c r="K12" s="13">
        <v>0</v>
      </c>
      <c r="L12" s="13">
        <v>0</v>
      </c>
      <c r="M12" s="14">
        <f t="shared" si="2"/>
        <v>215</v>
      </c>
      <c r="N12" s="12" t="str">
        <f t="shared" si="0"/>
        <v>Na média de produção</v>
      </c>
      <c r="O12" s="24">
        <v>1</v>
      </c>
      <c r="P12" s="15">
        <f t="shared" si="1"/>
        <v>-15</v>
      </c>
      <c r="Q12" s="28" t="str">
        <f t="shared" si="3"/>
        <v>Atendeu a Demanda</v>
      </c>
    </row>
    <row r="13" spans="1:17" x14ac:dyDescent="0.3">
      <c r="A13" s="30" t="s">
        <v>90</v>
      </c>
      <c r="B13" s="12" t="s">
        <v>3</v>
      </c>
      <c r="C13" s="13">
        <v>0</v>
      </c>
      <c r="D13" s="13">
        <v>0</v>
      </c>
      <c r="E13" s="13">
        <v>75</v>
      </c>
      <c r="F13" s="13">
        <v>195</v>
      </c>
      <c r="G13" s="13">
        <v>55</v>
      </c>
      <c r="H13" s="13">
        <v>0</v>
      </c>
      <c r="I13" s="13">
        <v>0</v>
      </c>
      <c r="J13" s="13">
        <v>10</v>
      </c>
      <c r="K13" s="13">
        <v>0</v>
      </c>
      <c r="L13" s="13">
        <v>0</v>
      </c>
      <c r="M13" s="13">
        <f t="shared" si="2"/>
        <v>335</v>
      </c>
      <c r="N13" s="12" t="str">
        <f t="shared" si="0"/>
        <v>Na média de produção</v>
      </c>
      <c r="O13" s="24">
        <v>1</v>
      </c>
      <c r="P13" s="15">
        <f t="shared" si="1"/>
        <v>-135</v>
      </c>
      <c r="Q13" s="28" t="str">
        <f t="shared" si="3"/>
        <v>Atendeu a Demanda</v>
      </c>
    </row>
    <row r="14" spans="1:17" x14ac:dyDescent="0.3">
      <c r="A14" s="34" t="s">
        <v>20</v>
      </c>
      <c r="B14" s="34"/>
      <c r="C14" s="8">
        <f t="shared" ref="C14:L14" si="4">SUM(C3:C13)</f>
        <v>100</v>
      </c>
      <c r="D14" s="8">
        <f t="shared" si="4"/>
        <v>595</v>
      </c>
      <c r="E14" s="8">
        <f t="shared" si="4"/>
        <v>450</v>
      </c>
      <c r="F14" s="8">
        <f t="shared" si="4"/>
        <v>715</v>
      </c>
      <c r="G14" s="8">
        <f t="shared" si="4"/>
        <v>550</v>
      </c>
      <c r="H14" s="8">
        <f t="shared" si="4"/>
        <v>0</v>
      </c>
      <c r="I14" s="8">
        <f t="shared" si="4"/>
        <v>100</v>
      </c>
      <c r="J14" s="8">
        <f t="shared" si="4"/>
        <v>10</v>
      </c>
      <c r="K14" s="8">
        <f t="shared" si="4"/>
        <v>0</v>
      </c>
      <c r="L14" s="8">
        <f t="shared" si="4"/>
        <v>0</v>
      </c>
      <c r="M14" s="7">
        <f>AVERAGE(M3:M13)</f>
        <v>229.09090909090909</v>
      </c>
    </row>
    <row r="15" spans="1:17" x14ac:dyDescent="0.3">
      <c r="A15" s="34" t="s">
        <v>18</v>
      </c>
      <c r="B15" s="34"/>
      <c r="C15" s="8">
        <f>C14/100</f>
        <v>1</v>
      </c>
      <c r="D15" s="8">
        <f>D14/85</f>
        <v>7</v>
      </c>
      <c r="E15" s="8">
        <f>E14/75</f>
        <v>6</v>
      </c>
      <c r="F15" s="8">
        <f>F14/65</f>
        <v>11</v>
      </c>
      <c r="G15" s="8">
        <f>G14/55</f>
        <v>10</v>
      </c>
      <c r="H15" s="8">
        <f>H14/40</f>
        <v>0</v>
      </c>
      <c r="I15" s="8">
        <f>I14/25</f>
        <v>4</v>
      </c>
      <c r="J15" s="8">
        <f>J14/10</f>
        <v>1</v>
      </c>
      <c r="K15" s="8">
        <v>0</v>
      </c>
      <c r="L15" s="8">
        <v>0</v>
      </c>
      <c r="M15" s="9">
        <f>SUM(C15:L15)</f>
        <v>40</v>
      </c>
    </row>
    <row r="16" spans="1:17" x14ac:dyDescent="0.3">
      <c r="A16" s="5"/>
      <c r="B16" s="5"/>
      <c r="C16" s="4"/>
      <c r="D16" s="4"/>
      <c r="E16" s="4"/>
      <c r="F16" s="4"/>
      <c r="G16" s="4"/>
      <c r="H16" s="4"/>
      <c r="I16" s="4"/>
      <c r="J16" s="4"/>
      <c r="K16" s="4"/>
      <c r="L16" s="4"/>
      <c r="M16" s="3"/>
    </row>
    <row r="17" spans="1:13" x14ac:dyDescent="0.3">
      <c r="A17" s="37" t="s">
        <v>46</v>
      </c>
      <c r="B17" s="37"/>
      <c r="C17" s="4"/>
      <c r="D17" s="4"/>
      <c r="E17" s="4"/>
      <c r="F17" s="4"/>
      <c r="G17" s="4"/>
      <c r="H17" s="4"/>
      <c r="I17" s="4"/>
      <c r="J17" s="4"/>
      <c r="K17" s="4"/>
      <c r="L17" s="4"/>
      <c r="M17" s="3"/>
    </row>
    <row r="18" spans="1:13" x14ac:dyDescent="0.3">
      <c r="A18" s="6" t="s">
        <v>28</v>
      </c>
      <c r="B18" s="7">
        <f>M14</f>
        <v>229.09090909090909</v>
      </c>
      <c r="C18" s="4"/>
      <c r="D18" s="4"/>
      <c r="E18" s="4"/>
      <c r="F18" s="4"/>
      <c r="G18" s="4"/>
      <c r="H18" s="4"/>
      <c r="I18" s="4"/>
      <c r="J18" s="4"/>
      <c r="K18" s="4"/>
      <c r="L18" s="4"/>
      <c r="M18" s="3"/>
    </row>
    <row r="19" spans="1:13" x14ac:dyDescent="0.3">
      <c r="A19" s="8" t="s">
        <v>17</v>
      </c>
      <c r="B19" s="7">
        <f>M14/3</f>
        <v>76.36363636363636</v>
      </c>
    </row>
    <row r="20" spans="1:13" x14ac:dyDescent="0.3">
      <c r="A20" s="8" t="s">
        <v>25</v>
      </c>
      <c r="B20" s="7">
        <f>B19*4</f>
        <v>305.45454545454544</v>
      </c>
    </row>
    <row r="21" spans="1:13" x14ac:dyDescent="0.3">
      <c r="A21" s="8" t="s">
        <v>61</v>
      </c>
      <c r="B21" s="7">
        <v>200</v>
      </c>
    </row>
    <row r="23" spans="1:13" x14ac:dyDescent="0.3">
      <c r="A23" s="35" t="s">
        <v>17</v>
      </c>
      <c r="B23" s="36"/>
    </row>
    <row r="24" spans="1:13" x14ac:dyDescent="0.3">
      <c r="A24" s="8" t="s">
        <v>62</v>
      </c>
      <c r="B24" s="7">
        <v>86</v>
      </c>
    </row>
    <row r="27" spans="1:13" x14ac:dyDescent="0.3">
      <c r="A27" s="34" t="s">
        <v>29</v>
      </c>
      <c r="B27" s="34"/>
      <c r="C27" s="34"/>
    </row>
    <row r="28" spans="1:13" x14ac:dyDescent="0.3">
      <c r="A28" s="10" t="s">
        <v>43</v>
      </c>
      <c r="B28" s="10" t="s">
        <v>44</v>
      </c>
      <c r="C28" s="10" t="s">
        <v>45</v>
      </c>
    </row>
    <row r="29" spans="1:13" x14ac:dyDescent="0.3">
      <c r="A29" s="11" t="s">
        <v>39</v>
      </c>
      <c r="B29" s="2">
        <f>COUNTIFS(M3:M13,"&lt;=50")</f>
        <v>1</v>
      </c>
      <c r="C29" s="16">
        <f>B29/$B$42*100</f>
        <v>9.0909090909090917</v>
      </c>
    </row>
    <row r="30" spans="1:13" x14ac:dyDescent="0.3">
      <c r="A30" s="9" t="s">
        <v>38</v>
      </c>
      <c r="B30" s="2">
        <f>COUNTIFS(M3:M13,"&gt;50",M3:M13,"&lt;=100")</f>
        <v>1</v>
      </c>
      <c r="C30" s="16">
        <f t="shared" ref="C30:C41" si="5">B30/$B$42*100</f>
        <v>9.0909090909090917</v>
      </c>
    </row>
    <row r="31" spans="1:13" x14ac:dyDescent="0.3">
      <c r="A31" s="9" t="s">
        <v>30</v>
      </c>
      <c r="B31" s="2">
        <f>COUNTIFS(M3:M13,"&gt;100",M3:M13,"&lt;=150")</f>
        <v>2</v>
      </c>
      <c r="C31" s="16">
        <f t="shared" si="5"/>
        <v>18.181818181818183</v>
      </c>
    </row>
    <row r="32" spans="1:13" x14ac:dyDescent="0.3">
      <c r="A32" s="9" t="s">
        <v>34</v>
      </c>
      <c r="B32" s="2">
        <f>COUNTIFS(M3:M13,"&gt;150",M3:M13,"&lt;=200")</f>
        <v>1</v>
      </c>
      <c r="C32" s="16">
        <f t="shared" si="5"/>
        <v>9.0909090909090917</v>
      </c>
    </row>
    <row r="33" spans="1:3" x14ac:dyDescent="0.3">
      <c r="A33" s="9" t="s">
        <v>33</v>
      </c>
      <c r="B33" s="2">
        <f>COUNTIFS(M3:M13,"&gt;200",M3:M13,"&lt;=250")</f>
        <v>2</v>
      </c>
      <c r="C33" s="16">
        <f t="shared" si="5"/>
        <v>18.181818181818183</v>
      </c>
    </row>
    <row r="34" spans="1:3" x14ac:dyDescent="0.3">
      <c r="A34" s="9" t="s">
        <v>40</v>
      </c>
      <c r="B34" s="2">
        <f>COUNTIFS(M3:M13,"&gt;250",M3:M13,"&lt;=300")</f>
        <v>0</v>
      </c>
      <c r="C34" s="16">
        <f t="shared" si="5"/>
        <v>0</v>
      </c>
    </row>
    <row r="35" spans="1:3" x14ac:dyDescent="0.3">
      <c r="A35" s="9" t="s">
        <v>31</v>
      </c>
      <c r="B35" s="2">
        <f>COUNTIFS(M3:M13,"&gt;300",M3:M13,"&lt;=350")</f>
        <v>2</v>
      </c>
      <c r="C35" s="16">
        <f t="shared" si="5"/>
        <v>18.181818181818183</v>
      </c>
    </row>
    <row r="36" spans="1:3" x14ac:dyDescent="0.3">
      <c r="A36" s="9" t="s">
        <v>32</v>
      </c>
      <c r="B36" s="2">
        <f>COUNTIFS(M3:M13,"&gt;350",M3:M13,"&lt;=400")</f>
        <v>1</v>
      </c>
      <c r="C36" s="16">
        <f t="shared" si="5"/>
        <v>9.0909090909090917</v>
      </c>
    </row>
    <row r="37" spans="1:3" x14ac:dyDescent="0.3">
      <c r="A37" s="9" t="s">
        <v>35</v>
      </c>
      <c r="B37" s="2">
        <f>COUNTIFS(M3:M13,"&gt;400",M3:M13,"&lt;=450")</f>
        <v>0</v>
      </c>
      <c r="C37" s="16">
        <f t="shared" si="5"/>
        <v>0</v>
      </c>
    </row>
    <row r="38" spans="1:3" x14ac:dyDescent="0.3">
      <c r="A38" s="9" t="s">
        <v>36</v>
      </c>
      <c r="B38" s="2">
        <f>COUNTIFS(M3:M13,"&gt;450",M3:M13,"&lt;=500")</f>
        <v>1</v>
      </c>
      <c r="C38" s="16">
        <f t="shared" si="5"/>
        <v>9.0909090909090917</v>
      </c>
    </row>
    <row r="39" spans="1:3" x14ac:dyDescent="0.3">
      <c r="A39" s="9" t="s">
        <v>41</v>
      </c>
      <c r="B39" s="2">
        <f>COUNTIFS(M3:M13,"&gt;500",M3:M13,"&lt;=550")</f>
        <v>0</v>
      </c>
      <c r="C39" s="16">
        <f t="shared" si="5"/>
        <v>0</v>
      </c>
    </row>
    <row r="40" spans="1:3" x14ac:dyDescent="0.3">
      <c r="A40" s="9" t="s">
        <v>37</v>
      </c>
      <c r="B40" s="2">
        <f>COUNTIFS(M3:M13,"&gt;550",M3:M13,"&lt;=600")</f>
        <v>0</v>
      </c>
      <c r="C40" s="16">
        <f t="shared" si="5"/>
        <v>0</v>
      </c>
    </row>
    <row r="41" spans="1:3" x14ac:dyDescent="0.3">
      <c r="A41" s="9" t="s">
        <v>50</v>
      </c>
      <c r="B41" s="2">
        <f>COUNTIFS(M3:M13,"&gt;600",M3:M13,"&lt;=5000")</f>
        <v>0</v>
      </c>
      <c r="C41" s="16">
        <f t="shared" si="5"/>
        <v>0</v>
      </c>
    </row>
    <row r="42" spans="1:3" x14ac:dyDescent="0.3">
      <c r="A42" s="9" t="s">
        <v>42</v>
      </c>
      <c r="B42" s="2">
        <f>SUM(B29:B41)</f>
        <v>11</v>
      </c>
      <c r="C42" s="16">
        <f>SUM(C29:C41)</f>
        <v>100.00000000000001</v>
      </c>
    </row>
  </sheetData>
  <autoFilter ref="A2:Q15" xr:uid="{E9BC6FAC-451A-45BC-BC66-B50D49EFC5F5}"/>
  <mergeCells count="6">
    <mergeCell ref="A27:C27"/>
    <mergeCell ref="A1:Q1"/>
    <mergeCell ref="A14:B14"/>
    <mergeCell ref="A15:B15"/>
    <mergeCell ref="A17:B17"/>
    <mergeCell ref="A23:B23"/>
  </mergeCells>
  <pageMargins left="0.511811024" right="0.511811024" top="0.78740157499999996" bottom="0.78740157499999996" header="0.31496062000000002" footer="0.31496062000000002"/>
  <pageSetup paperSize="9" scale="56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E0D650-9034-4F4A-88AE-3535F3A5F9B4}">
  <sheetPr>
    <pageSetUpPr fitToPage="1"/>
  </sheetPr>
  <dimension ref="A1:Q40"/>
  <sheetViews>
    <sheetView zoomScale="70" zoomScaleNormal="70" workbookViewId="0">
      <selection sqref="A1:XFD1"/>
    </sheetView>
  </sheetViews>
  <sheetFormatPr defaultRowHeight="14.4" x14ac:dyDescent="0.3"/>
  <cols>
    <col min="1" max="1" width="65.6640625" bestFit="1" customWidth="1"/>
    <col min="2" max="2" width="14.6640625" bestFit="1" customWidth="1"/>
    <col min="3" max="3" width="5.5546875" bestFit="1" customWidth="1"/>
    <col min="4" max="4" width="7.44140625" bestFit="1" customWidth="1"/>
    <col min="5" max="5" width="5.5546875" bestFit="1" customWidth="1"/>
    <col min="6" max="6" width="7.44140625" bestFit="1" customWidth="1"/>
    <col min="7" max="10" width="5.44140625" bestFit="1" customWidth="1"/>
    <col min="11" max="11" width="4.44140625" bestFit="1" customWidth="1"/>
    <col min="12" max="12" width="4.6640625" customWidth="1"/>
    <col min="13" max="13" width="23" customWidth="1"/>
    <col min="14" max="14" width="27" bestFit="1" customWidth="1"/>
    <col min="15" max="15" width="10.6640625" customWidth="1"/>
    <col min="16" max="16" width="23.44140625" customWidth="1"/>
    <col min="17" max="17" width="39.109375" customWidth="1"/>
  </cols>
  <sheetData>
    <row r="1" spans="1:17" ht="25.8" x14ac:dyDescent="0.5">
      <c r="A1" s="33" t="s">
        <v>92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</row>
    <row r="2" spans="1:17" ht="67.5" customHeight="1" x14ac:dyDescent="0.3">
      <c r="A2" s="23" t="s">
        <v>0</v>
      </c>
      <c r="B2" s="24" t="s">
        <v>1</v>
      </c>
      <c r="C2" s="24" t="s">
        <v>5</v>
      </c>
      <c r="D2" s="24" t="s">
        <v>6</v>
      </c>
      <c r="E2" s="24" t="s">
        <v>7</v>
      </c>
      <c r="F2" s="24" t="s">
        <v>8</v>
      </c>
      <c r="G2" s="24" t="s">
        <v>9</v>
      </c>
      <c r="H2" s="24" t="s">
        <v>10</v>
      </c>
      <c r="I2" s="24" t="s">
        <v>11</v>
      </c>
      <c r="J2" s="24" t="s">
        <v>12</v>
      </c>
      <c r="K2" s="24" t="s">
        <v>13</v>
      </c>
      <c r="L2" s="24" t="s">
        <v>15</v>
      </c>
      <c r="M2" s="19" t="s">
        <v>14</v>
      </c>
      <c r="N2" s="18" t="s">
        <v>49</v>
      </c>
      <c r="O2" s="18" t="s">
        <v>60</v>
      </c>
      <c r="P2" s="18" t="s">
        <v>19</v>
      </c>
      <c r="Q2" s="18" t="s">
        <v>51</v>
      </c>
    </row>
    <row r="3" spans="1:17" x14ac:dyDescent="0.3">
      <c r="A3" s="30" t="s">
        <v>66</v>
      </c>
      <c r="B3" s="12" t="s">
        <v>3</v>
      </c>
      <c r="C3" s="13">
        <v>0</v>
      </c>
      <c r="D3" s="13">
        <v>0</v>
      </c>
      <c r="E3" s="13">
        <v>75</v>
      </c>
      <c r="F3" s="13">
        <v>65</v>
      </c>
      <c r="G3" s="13">
        <v>55</v>
      </c>
      <c r="H3" s="13">
        <v>0</v>
      </c>
      <c r="I3" s="13">
        <v>25</v>
      </c>
      <c r="J3" s="13">
        <v>0</v>
      </c>
      <c r="K3" s="13">
        <v>0</v>
      </c>
      <c r="L3" s="13">
        <v>0</v>
      </c>
      <c r="M3" s="14">
        <f>SUM(C3:L3)</f>
        <v>220</v>
      </c>
      <c r="N3" s="12" t="str">
        <f t="shared" ref="N3:N11" si="0">IF(M3&gt;=$B$19,"Na média de produção","ABAIXO")</f>
        <v>Na média de produção</v>
      </c>
      <c r="O3" s="24">
        <v>2</v>
      </c>
      <c r="P3" s="15">
        <f t="shared" ref="P3:P11" si="1">$B$19-M3</f>
        <v>-20</v>
      </c>
      <c r="Q3" s="28" t="str">
        <f t="shared" ref="Q3:Q11" si="2">IF(P3&lt;=0,"Atendeu a Demanda",IF(P3&lt;=$B$22,"Alta possibilidade de atendimento","Baixa Possibilidade de Atendimento"))</f>
        <v>Atendeu a Demanda</v>
      </c>
    </row>
    <row r="4" spans="1:17" x14ac:dyDescent="0.3">
      <c r="A4" s="30" t="s">
        <v>67</v>
      </c>
      <c r="B4" s="12" t="s">
        <v>3</v>
      </c>
      <c r="C4" s="13">
        <v>0</v>
      </c>
      <c r="D4" s="13">
        <v>0</v>
      </c>
      <c r="E4" s="13">
        <v>0</v>
      </c>
      <c r="F4" s="13">
        <v>0</v>
      </c>
      <c r="G4" s="13">
        <v>0</v>
      </c>
      <c r="H4" s="13">
        <v>0</v>
      </c>
      <c r="I4" s="13">
        <v>0</v>
      </c>
      <c r="J4" s="13">
        <v>0</v>
      </c>
      <c r="K4" s="13">
        <v>0</v>
      </c>
      <c r="L4" s="13">
        <v>0</v>
      </c>
      <c r="M4" s="13">
        <f t="shared" ref="M4:M11" si="3">SUM(C4:L4)</f>
        <v>0</v>
      </c>
      <c r="N4" s="12" t="str">
        <f t="shared" si="0"/>
        <v>ABAIXO</v>
      </c>
      <c r="O4" s="24">
        <v>2</v>
      </c>
      <c r="P4" s="15">
        <f t="shared" si="1"/>
        <v>200</v>
      </c>
      <c r="Q4" s="29" t="str">
        <f t="shared" si="2"/>
        <v>Baixa Possibilidade de Atendimento</v>
      </c>
    </row>
    <row r="5" spans="1:17" x14ac:dyDescent="0.3">
      <c r="A5" s="30" t="s">
        <v>68</v>
      </c>
      <c r="B5" s="12" t="s">
        <v>3</v>
      </c>
      <c r="C5" s="13">
        <v>0</v>
      </c>
      <c r="D5" s="13">
        <v>85</v>
      </c>
      <c r="E5" s="13">
        <v>0</v>
      </c>
      <c r="F5" s="13">
        <v>130</v>
      </c>
      <c r="G5" s="13">
        <v>0</v>
      </c>
      <c r="H5" s="13">
        <v>40</v>
      </c>
      <c r="I5" s="13">
        <v>0</v>
      </c>
      <c r="J5" s="13">
        <v>20</v>
      </c>
      <c r="K5" s="13">
        <v>0</v>
      </c>
      <c r="L5" s="13">
        <v>0</v>
      </c>
      <c r="M5" s="13">
        <f t="shared" si="3"/>
        <v>275</v>
      </c>
      <c r="N5" s="12" t="str">
        <f t="shared" si="0"/>
        <v>Na média de produção</v>
      </c>
      <c r="O5" s="24">
        <v>2</v>
      </c>
      <c r="P5" s="15">
        <f t="shared" si="1"/>
        <v>-75</v>
      </c>
      <c r="Q5" s="28" t="str">
        <f t="shared" si="2"/>
        <v>Atendeu a Demanda</v>
      </c>
    </row>
    <row r="6" spans="1:17" x14ac:dyDescent="0.3">
      <c r="A6" s="30" t="s">
        <v>76</v>
      </c>
      <c r="B6" s="12" t="s">
        <v>3</v>
      </c>
      <c r="C6" s="13">
        <v>0</v>
      </c>
      <c r="D6" s="13">
        <v>85</v>
      </c>
      <c r="E6" s="13">
        <v>0</v>
      </c>
      <c r="F6" s="13">
        <v>130</v>
      </c>
      <c r="G6" s="13">
        <v>0</v>
      </c>
      <c r="H6" s="13">
        <v>0</v>
      </c>
      <c r="I6" s="13">
        <v>0</v>
      </c>
      <c r="J6" s="13">
        <v>0</v>
      </c>
      <c r="K6" s="13">
        <v>0</v>
      </c>
      <c r="L6" s="13">
        <v>0</v>
      </c>
      <c r="M6" s="14">
        <f t="shared" si="3"/>
        <v>215</v>
      </c>
      <c r="N6" s="12" t="str">
        <f t="shared" si="0"/>
        <v>Na média de produção</v>
      </c>
      <c r="O6" s="24">
        <v>2</v>
      </c>
      <c r="P6" s="15">
        <f t="shared" si="1"/>
        <v>-15</v>
      </c>
      <c r="Q6" s="28" t="str">
        <f t="shared" si="2"/>
        <v>Atendeu a Demanda</v>
      </c>
    </row>
    <row r="7" spans="1:17" x14ac:dyDescent="0.3">
      <c r="A7" s="30" t="s">
        <v>77</v>
      </c>
      <c r="B7" s="12" t="s">
        <v>3</v>
      </c>
      <c r="C7" s="13">
        <v>0</v>
      </c>
      <c r="D7" s="13">
        <v>85</v>
      </c>
      <c r="E7" s="13">
        <v>0</v>
      </c>
      <c r="F7" s="13">
        <v>65</v>
      </c>
      <c r="G7" s="13">
        <v>55</v>
      </c>
      <c r="H7" s="13">
        <v>0</v>
      </c>
      <c r="I7" s="13">
        <v>0</v>
      </c>
      <c r="J7" s="13">
        <v>0</v>
      </c>
      <c r="K7" s="13">
        <v>0</v>
      </c>
      <c r="L7" s="13">
        <v>0</v>
      </c>
      <c r="M7" s="14">
        <f t="shared" si="3"/>
        <v>205</v>
      </c>
      <c r="N7" s="12" t="str">
        <f t="shared" si="0"/>
        <v>Na média de produção</v>
      </c>
      <c r="O7" s="24">
        <v>2</v>
      </c>
      <c r="P7" s="15">
        <f t="shared" si="1"/>
        <v>-5</v>
      </c>
      <c r="Q7" s="28" t="str">
        <f t="shared" si="2"/>
        <v>Atendeu a Demanda</v>
      </c>
    </row>
    <row r="8" spans="1:17" x14ac:dyDescent="0.3">
      <c r="A8" s="30" t="s">
        <v>81</v>
      </c>
      <c r="B8" s="12" t="s">
        <v>3</v>
      </c>
      <c r="C8" s="13">
        <v>100</v>
      </c>
      <c r="D8" s="13">
        <v>0</v>
      </c>
      <c r="E8" s="13">
        <v>0</v>
      </c>
      <c r="F8" s="13">
        <v>65</v>
      </c>
      <c r="G8" s="13">
        <v>55</v>
      </c>
      <c r="H8" s="13">
        <v>0</v>
      </c>
      <c r="I8" s="13">
        <v>0</v>
      </c>
      <c r="J8" s="13">
        <v>0</v>
      </c>
      <c r="K8" s="13">
        <v>0</v>
      </c>
      <c r="L8" s="13">
        <v>0</v>
      </c>
      <c r="M8" s="14">
        <f t="shared" si="3"/>
        <v>220</v>
      </c>
      <c r="N8" s="12" t="str">
        <f t="shared" si="0"/>
        <v>Na média de produção</v>
      </c>
      <c r="O8" s="24">
        <v>2</v>
      </c>
      <c r="P8" s="15">
        <f t="shared" si="1"/>
        <v>-20</v>
      </c>
      <c r="Q8" s="28" t="str">
        <f t="shared" si="2"/>
        <v>Atendeu a Demanda</v>
      </c>
    </row>
    <row r="9" spans="1:17" x14ac:dyDescent="0.3">
      <c r="A9" s="30" t="s">
        <v>85</v>
      </c>
      <c r="B9" s="12" t="s">
        <v>3</v>
      </c>
      <c r="C9" s="13">
        <v>0</v>
      </c>
      <c r="D9" s="13">
        <v>170</v>
      </c>
      <c r="E9" s="13">
        <v>75</v>
      </c>
      <c r="F9" s="13">
        <v>325</v>
      </c>
      <c r="G9" s="13">
        <v>110</v>
      </c>
      <c r="H9" s="13">
        <v>40</v>
      </c>
      <c r="I9" s="13">
        <v>0</v>
      </c>
      <c r="J9" s="13">
        <v>0</v>
      </c>
      <c r="K9" s="13">
        <v>0</v>
      </c>
      <c r="L9" s="13">
        <v>0</v>
      </c>
      <c r="M9" s="13">
        <f t="shared" si="3"/>
        <v>720</v>
      </c>
      <c r="N9" s="12" t="str">
        <f t="shared" si="0"/>
        <v>Na média de produção</v>
      </c>
      <c r="O9" s="24">
        <v>2</v>
      </c>
      <c r="P9" s="15">
        <f t="shared" si="1"/>
        <v>-520</v>
      </c>
      <c r="Q9" s="28" t="str">
        <f t="shared" si="2"/>
        <v>Atendeu a Demanda</v>
      </c>
    </row>
    <row r="10" spans="1:17" x14ac:dyDescent="0.3">
      <c r="A10" s="30" t="s">
        <v>86</v>
      </c>
      <c r="B10" s="12" t="s">
        <v>3</v>
      </c>
      <c r="C10" s="13">
        <v>100</v>
      </c>
      <c r="D10" s="13">
        <v>85</v>
      </c>
      <c r="E10" s="13">
        <v>0</v>
      </c>
      <c r="F10" s="13">
        <v>260</v>
      </c>
      <c r="G10" s="13">
        <v>0</v>
      </c>
      <c r="H10" s="13">
        <v>0</v>
      </c>
      <c r="I10" s="13">
        <v>0</v>
      </c>
      <c r="J10" s="13">
        <v>0</v>
      </c>
      <c r="K10" s="13">
        <v>0</v>
      </c>
      <c r="L10" s="13">
        <v>0</v>
      </c>
      <c r="M10" s="13">
        <f t="shared" si="3"/>
        <v>445</v>
      </c>
      <c r="N10" s="12" t="str">
        <f t="shared" si="0"/>
        <v>Na média de produção</v>
      </c>
      <c r="O10" s="24">
        <v>2</v>
      </c>
      <c r="P10" s="15">
        <f t="shared" si="1"/>
        <v>-245</v>
      </c>
      <c r="Q10" s="28" t="str">
        <f t="shared" si="2"/>
        <v>Atendeu a Demanda</v>
      </c>
    </row>
    <row r="11" spans="1:17" x14ac:dyDescent="0.3">
      <c r="A11" s="30" t="s">
        <v>91</v>
      </c>
      <c r="B11" s="12" t="s">
        <v>3</v>
      </c>
      <c r="C11" s="13">
        <v>0</v>
      </c>
      <c r="D11" s="13">
        <v>85</v>
      </c>
      <c r="E11" s="13">
        <v>150</v>
      </c>
      <c r="F11" s="13">
        <v>0</v>
      </c>
      <c r="G11" s="13">
        <v>110</v>
      </c>
      <c r="H11" s="13">
        <v>0</v>
      </c>
      <c r="I11" s="13">
        <v>0</v>
      </c>
      <c r="J11" s="13">
        <v>0</v>
      </c>
      <c r="K11" s="13">
        <v>0</v>
      </c>
      <c r="L11" s="13">
        <v>0</v>
      </c>
      <c r="M11" s="13">
        <f t="shared" si="3"/>
        <v>345</v>
      </c>
      <c r="N11" s="12" t="str">
        <f t="shared" si="0"/>
        <v>Na média de produção</v>
      </c>
      <c r="O11" s="24">
        <v>2</v>
      </c>
      <c r="P11" s="15">
        <f t="shared" si="1"/>
        <v>-145</v>
      </c>
      <c r="Q11" s="28" t="str">
        <f t="shared" si="2"/>
        <v>Atendeu a Demanda</v>
      </c>
    </row>
    <row r="12" spans="1:17" x14ac:dyDescent="0.3">
      <c r="A12" s="35" t="s">
        <v>20</v>
      </c>
      <c r="B12" s="36"/>
      <c r="C12" s="8">
        <f t="shared" ref="C12:L12" si="4">SUM(C3:C11)</f>
        <v>200</v>
      </c>
      <c r="D12" s="8">
        <f t="shared" si="4"/>
        <v>595</v>
      </c>
      <c r="E12" s="8">
        <f t="shared" si="4"/>
        <v>300</v>
      </c>
      <c r="F12" s="8">
        <f t="shared" si="4"/>
        <v>1040</v>
      </c>
      <c r="G12" s="8">
        <f t="shared" si="4"/>
        <v>385</v>
      </c>
      <c r="H12" s="8">
        <f t="shared" si="4"/>
        <v>80</v>
      </c>
      <c r="I12" s="8">
        <f t="shared" si="4"/>
        <v>25</v>
      </c>
      <c r="J12" s="8">
        <f t="shared" si="4"/>
        <v>20</v>
      </c>
      <c r="K12" s="8">
        <f t="shared" si="4"/>
        <v>0</v>
      </c>
      <c r="L12" s="8">
        <f t="shared" si="4"/>
        <v>0</v>
      </c>
      <c r="M12" s="7">
        <f>AVERAGE(M3:M11)</f>
        <v>293.88888888888891</v>
      </c>
    </row>
    <row r="13" spans="1:17" x14ac:dyDescent="0.3">
      <c r="A13" s="35" t="s">
        <v>18</v>
      </c>
      <c r="B13" s="36"/>
      <c r="C13" s="8">
        <f>C12/100</f>
        <v>2</v>
      </c>
      <c r="D13" s="8">
        <f>D12/85</f>
        <v>7</v>
      </c>
      <c r="E13" s="8">
        <f>E12/75</f>
        <v>4</v>
      </c>
      <c r="F13" s="8">
        <f>F12/65</f>
        <v>16</v>
      </c>
      <c r="G13" s="8">
        <f>G12/55</f>
        <v>7</v>
      </c>
      <c r="H13" s="8">
        <f>H12/40</f>
        <v>2</v>
      </c>
      <c r="I13" s="8">
        <f>I12/25</f>
        <v>1</v>
      </c>
      <c r="J13" s="8">
        <f>J12/10</f>
        <v>2</v>
      </c>
      <c r="K13" s="8">
        <v>0</v>
      </c>
      <c r="L13" s="8">
        <v>0</v>
      </c>
      <c r="M13" s="7">
        <f>SUM(C13:L13)</f>
        <v>41</v>
      </c>
    </row>
    <row r="14" spans="1:17" x14ac:dyDescent="0.3">
      <c r="A14" s="5"/>
      <c r="B14" s="5"/>
      <c r="C14" s="4"/>
      <c r="D14" s="4"/>
      <c r="E14" s="4"/>
      <c r="F14" s="4"/>
      <c r="G14" s="4"/>
      <c r="H14" s="4"/>
      <c r="I14" s="4"/>
      <c r="J14" s="4"/>
      <c r="K14" s="4"/>
      <c r="L14" s="4"/>
      <c r="M14" s="3"/>
    </row>
    <row r="15" spans="1:17" x14ac:dyDescent="0.3">
      <c r="A15" s="37" t="s">
        <v>46</v>
      </c>
      <c r="B15" s="37"/>
      <c r="C15" s="4"/>
      <c r="D15" s="4"/>
      <c r="E15" s="4"/>
      <c r="F15" s="4"/>
      <c r="G15" s="4"/>
      <c r="H15" s="4"/>
      <c r="I15" s="4"/>
      <c r="J15" s="4"/>
      <c r="K15" s="4"/>
      <c r="L15" s="4"/>
      <c r="M15" s="3"/>
    </row>
    <row r="16" spans="1:17" x14ac:dyDescent="0.3">
      <c r="A16" s="6" t="s">
        <v>28</v>
      </c>
      <c r="B16" s="7">
        <f>M12</f>
        <v>293.88888888888891</v>
      </c>
      <c r="C16" s="4"/>
      <c r="D16" s="4"/>
      <c r="E16" s="4"/>
      <c r="F16" s="4"/>
      <c r="G16" s="4"/>
      <c r="H16" s="4"/>
      <c r="I16" s="4"/>
      <c r="J16" s="4"/>
      <c r="K16" s="4"/>
      <c r="L16" s="4"/>
      <c r="M16" s="3"/>
    </row>
    <row r="17" spans="1:3" x14ac:dyDescent="0.3">
      <c r="A17" s="8" t="s">
        <v>17</v>
      </c>
      <c r="B17" s="7">
        <f>M12/3</f>
        <v>97.962962962962976</v>
      </c>
    </row>
    <row r="18" spans="1:3" x14ac:dyDescent="0.3">
      <c r="A18" s="8" t="s">
        <v>25</v>
      </c>
      <c r="B18" s="7">
        <f>B17*4</f>
        <v>391.8518518518519</v>
      </c>
    </row>
    <row r="19" spans="1:3" x14ac:dyDescent="0.3">
      <c r="A19" s="8" t="s">
        <v>61</v>
      </c>
      <c r="B19" s="7">
        <v>200</v>
      </c>
    </row>
    <row r="21" spans="1:3" x14ac:dyDescent="0.3">
      <c r="A21" s="35" t="s">
        <v>17</v>
      </c>
      <c r="B21" s="36"/>
    </row>
    <row r="22" spans="1:3" x14ac:dyDescent="0.3">
      <c r="A22" s="8" t="s">
        <v>63</v>
      </c>
      <c r="B22" s="7">
        <v>86</v>
      </c>
    </row>
    <row r="25" spans="1:3" x14ac:dyDescent="0.3">
      <c r="A25" s="34" t="s">
        <v>29</v>
      </c>
      <c r="B25" s="34"/>
      <c r="C25" s="34"/>
    </row>
    <row r="26" spans="1:3" x14ac:dyDescent="0.3">
      <c r="A26" s="10" t="s">
        <v>43</v>
      </c>
      <c r="B26" s="10" t="s">
        <v>44</v>
      </c>
      <c r="C26" s="10" t="s">
        <v>45</v>
      </c>
    </row>
    <row r="27" spans="1:3" x14ac:dyDescent="0.3">
      <c r="A27" s="11" t="s">
        <v>39</v>
      </c>
      <c r="B27" s="2">
        <f>COUNTIFS(M3:M11,"&lt;=50")</f>
        <v>1</v>
      </c>
      <c r="C27" s="16">
        <f>B27/$B$40*100</f>
        <v>11.111111111111111</v>
      </c>
    </row>
    <row r="28" spans="1:3" x14ac:dyDescent="0.3">
      <c r="A28" s="9" t="s">
        <v>38</v>
      </c>
      <c r="B28" s="2">
        <f>COUNTIFS(M3:M11,"&gt;50",M3:M11,"&lt;=100")</f>
        <v>0</v>
      </c>
      <c r="C28" s="16">
        <f t="shared" ref="C28:C39" si="5">B28/$B$40*100</f>
        <v>0</v>
      </c>
    </row>
    <row r="29" spans="1:3" x14ac:dyDescent="0.3">
      <c r="A29" s="9" t="s">
        <v>30</v>
      </c>
      <c r="B29" s="2">
        <f>COUNTIFS(M3:M11,"&gt;100",M3:M11,"&lt;=150")</f>
        <v>0</v>
      </c>
      <c r="C29" s="16">
        <f t="shared" si="5"/>
        <v>0</v>
      </c>
    </row>
    <row r="30" spans="1:3" x14ac:dyDescent="0.3">
      <c r="A30" s="9" t="s">
        <v>34</v>
      </c>
      <c r="B30" s="2">
        <f>COUNTIFS(M3:M11,"&gt;150",M3:M11,"&lt;=200")</f>
        <v>0</v>
      </c>
      <c r="C30" s="16">
        <f t="shared" si="5"/>
        <v>0</v>
      </c>
    </row>
    <row r="31" spans="1:3" x14ac:dyDescent="0.3">
      <c r="A31" s="9" t="s">
        <v>33</v>
      </c>
      <c r="B31" s="2">
        <f>COUNTIFS(M3:M11,"&gt;200",M3:M11,"&lt;=250")</f>
        <v>4</v>
      </c>
      <c r="C31" s="16">
        <f t="shared" si="5"/>
        <v>44.444444444444443</v>
      </c>
    </row>
    <row r="32" spans="1:3" x14ac:dyDescent="0.3">
      <c r="A32" s="9" t="s">
        <v>40</v>
      </c>
      <c r="B32" s="2">
        <f>COUNTIFS(M3:M11,"&gt;250",M3:M11,"&lt;=300")</f>
        <v>1</v>
      </c>
      <c r="C32" s="16">
        <f t="shared" si="5"/>
        <v>11.111111111111111</v>
      </c>
    </row>
    <row r="33" spans="1:3" x14ac:dyDescent="0.3">
      <c r="A33" s="9" t="s">
        <v>31</v>
      </c>
      <c r="B33" s="2">
        <f>COUNTIFS(M3:M11,"&gt;300",M3:M11,"&lt;=350")</f>
        <v>1</v>
      </c>
      <c r="C33" s="16">
        <f t="shared" si="5"/>
        <v>11.111111111111111</v>
      </c>
    </row>
    <row r="34" spans="1:3" x14ac:dyDescent="0.3">
      <c r="A34" s="9" t="s">
        <v>32</v>
      </c>
      <c r="B34" s="2">
        <f>COUNTIFS(M3:M11,"&gt;350",M3:M11,"&lt;=400")</f>
        <v>0</v>
      </c>
      <c r="C34" s="16">
        <f t="shared" si="5"/>
        <v>0</v>
      </c>
    </row>
    <row r="35" spans="1:3" x14ac:dyDescent="0.3">
      <c r="A35" s="9" t="s">
        <v>35</v>
      </c>
      <c r="B35" s="2">
        <f>COUNTIFS(M3:M11,"&gt;400",M3:M11,"&lt;=450")</f>
        <v>1</v>
      </c>
      <c r="C35" s="16">
        <f t="shared" si="5"/>
        <v>11.111111111111111</v>
      </c>
    </row>
    <row r="36" spans="1:3" x14ac:dyDescent="0.3">
      <c r="A36" s="9" t="s">
        <v>36</v>
      </c>
      <c r="B36" s="2">
        <f>COUNTIFS(M3:M11,"&gt;450",M3:M11,"&lt;=500")</f>
        <v>0</v>
      </c>
      <c r="C36" s="16">
        <f t="shared" si="5"/>
        <v>0</v>
      </c>
    </row>
    <row r="37" spans="1:3" x14ac:dyDescent="0.3">
      <c r="A37" s="9" t="s">
        <v>41</v>
      </c>
      <c r="B37" s="2">
        <f>COUNTIFS(M3:M11,"&gt;500",M3:M11,"&lt;=550")</f>
        <v>0</v>
      </c>
      <c r="C37" s="16">
        <f t="shared" si="5"/>
        <v>0</v>
      </c>
    </row>
    <row r="38" spans="1:3" x14ac:dyDescent="0.3">
      <c r="A38" s="9" t="s">
        <v>37</v>
      </c>
      <c r="B38" s="2">
        <f>COUNTIFS(M3:M11,"&gt;550",M3:M11,"&lt;=600")</f>
        <v>0</v>
      </c>
      <c r="C38" s="16">
        <f t="shared" si="5"/>
        <v>0</v>
      </c>
    </row>
    <row r="39" spans="1:3" x14ac:dyDescent="0.3">
      <c r="A39" s="9" t="s">
        <v>50</v>
      </c>
      <c r="B39" s="2">
        <f>COUNTIFS(M3:M11,"&gt;600",M3:M11,"&lt;=5000")</f>
        <v>1</v>
      </c>
      <c r="C39" s="16">
        <f t="shared" si="5"/>
        <v>11.111111111111111</v>
      </c>
    </row>
    <row r="40" spans="1:3" x14ac:dyDescent="0.3">
      <c r="A40" s="9" t="s">
        <v>42</v>
      </c>
      <c r="B40" s="2">
        <f>SUM(B27:B39)</f>
        <v>9</v>
      </c>
      <c r="C40" s="16">
        <f>SUM(C27:C39)</f>
        <v>100.00000000000001</v>
      </c>
    </row>
  </sheetData>
  <mergeCells count="6">
    <mergeCell ref="A25:C25"/>
    <mergeCell ref="A1:Q1"/>
    <mergeCell ref="A12:B12"/>
    <mergeCell ref="A13:B13"/>
    <mergeCell ref="A15:B15"/>
    <mergeCell ref="A21:B21"/>
  </mergeCells>
  <pageMargins left="0.511811024" right="0.511811024" top="0.78740157499999996" bottom="0.78740157499999996" header="0.31496062000000002" footer="0.31496062000000002"/>
  <pageSetup paperSize="9" scale="56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F26AF2-2857-4D26-B924-BD95F78086BC}">
  <dimension ref="A1:O21"/>
  <sheetViews>
    <sheetView workbookViewId="0">
      <selection activeCell="B25" sqref="B25"/>
    </sheetView>
  </sheetViews>
  <sheetFormatPr defaultRowHeight="14.4" x14ac:dyDescent="0.3"/>
  <cols>
    <col min="1" max="1" width="37.33203125" bestFit="1" customWidth="1"/>
    <col min="2" max="2" width="13.33203125" bestFit="1" customWidth="1"/>
    <col min="14" max="14" width="21.109375" bestFit="1" customWidth="1"/>
  </cols>
  <sheetData>
    <row r="1" spans="1:15" x14ac:dyDescent="0.3">
      <c r="A1" s="30" t="s">
        <v>0</v>
      </c>
      <c r="B1" s="30" t="s">
        <v>1</v>
      </c>
      <c r="C1" t="s">
        <v>5</v>
      </c>
      <c r="D1" t="s">
        <v>6</v>
      </c>
      <c r="E1" t="s">
        <v>7</v>
      </c>
      <c r="F1" t="s">
        <v>8</v>
      </c>
      <c r="G1" t="s">
        <v>9</v>
      </c>
      <c r="H1" t="s">
        <v>10</v>
      </c>
      <c r="I1" t="s">
        <v>11</v>
      </c>
      <c r="J1" t="s">
        <v>12</v>
      </c>
      <c r="K1" t="s">
        <v>13</v>
      </c>
      <c r="L1" t="s">
        <v>15</v>
      </c>
      <c r="M1" t="s">
        <v>14</v>
      </c>
      <c r="N1" t="s">
        <v>16</v>
      </c>
      <c r="O1" t="s">
        <v>19</v>
      </c>
    </row>
    <row r="2" spans="1:15" x14ac:dyDescent="0.3">
      <c r="A2" s="30" t="s">
        <v>66</v>
      </c>
      <c r="B2" s="30" t="s">
        <v>3</v>
      </c>
      <c r="C2" s="32">
        <v>0</v>
      </c>
      <c r="D2" s="13">
        <v>0</v>
      </c>
      <c r="E2" s="13">
        <v>75</v>
      </c>
      <c r="F2" s="13">
        <v>65</v>
      </c>
      <c r="G2" s="13">
        <v>55</v>
      </c>
      <c r="H2" s="13">
        <v>0</v>
      </c>
      <c r="I2" s="13">
        <v>25</v>
      </c>
      <c r="J2" s="13">
        <v>0</v>
      </c>
      <c r="K2" s="13">
        <v>0</v>
      </c>
      <c r="L2" s="13">
        <v>0</v>
      </c>
      <c r="M2" s="14">
        <f>SUM(C2:L2)</f>
        <v>220</v>
      </c>
      <c r="N2" s="12" t="s">
        <v>47</v>
      </c>
      <c r="O2" s="17"/>
    </row>
    <row r="3" spans="1:15" x14ac:dyDescent="0.3">
      <c r="A3" s="30" t="s">
        <v>67</v>
      </c>
      <c r="B3" s="30" t="s">
        <v>3</v>
      </c>
      <c r="C3" s="32">
        <v>0</v>
      </c>
      <c r="D3" s="13">
        <v>0</v>
      </c>
      <c r="E3" s="13">
        <v>0</v>
      </c>
      <c r="F3" s="13">
        <v>0</v>
      </c>
      <c r="G3" s="13">
        <v>0</v>
      </c>
      <c r="H3" s="13">
        <v>0</v>
      </c>
      <c r="I3" s="13">
        <v>0</v>
      </c>
      <c r="J3" s="13">
        <v>0</v>
      </c>
      <c r="K3" s="13">
        <v>0</v>
      </c>
      <c r="L3" s="13">
        <v>0</v>
      </c>
      <c r="M3" s="13">
        <f t="shared" ref="M3:M21" si="0">SUM(C3:L3)</f>
        <v>0</v>
      </c>
      <c r="N3" s="12" t="s">
        <v>48</v>
      </c>
      <c r="O3" s="17">
        <v>175.30303030303028</v>
      </c>
    </row>
    <row r="4" spans="1:15" x14ac:dyDescent="0.3">
      <c r="A4" s="30" t="s">
        <v>68</v>
      </c>
      <c r="B4" s="30" t="s">
        <v>3</v>
      </c>
      <c r="C4" s="32">
        <v>0</v>
      </c>
      <c r="D4" s="13">
        <v>85</v>
      </c>
      <c r="E4" s="13">
        <v>0</v>
      </c>
      <c r="F4" s="13">
        <v>130</v>
      </c>
      <c r="G4" s="13">
        <v>0</v>
      </c>
      <c r="H4" s="13">
        <v>40</v>
      </c>
      <c r="I4" s="13">
        <v>0</v>
      </c>
      <c r="J4" s="13">
        <v>20</v>
      </c>
      <c r="K4" s="13">
        <v>0</v>
      </c>
      <c r="L4" s="13">
        <v>0</v>
      </c>
      <c r="M4" s="13">
        <f t="shared" si="0"/>
        <v>275</v>
      </c>
      <c r="N4" s="12" t="s">
        <v>47</v>
      </c>
      <c r="O4" s="17">
        <v>70.303030303030283</v>
      </c>
    </row>
    <row r="5" spans="1:15" x14ac:dyDescent="0.3">
      <c r="A5" s="30" t="s">
        <v>70</v>
      </c>
      <c r="B5" s="30" t="s">
        <v>3</v>
      </c>
      <c r="C5" s="32">
        <v>100</v>
      </c>
      <c r="D5" s="13">
        <v>170</v>
      </c>
      <c r="E5" s="13">
        <v>150</v>
      </c>
      <c r="F5" s="13">
        <v>0</v>
      </c>
      <c r="G5" s="13">
        <v>55</v>
      </c>
      <c r="H5" s="13">
        <v>0</v>
      </c>
      <c r="I5" s="13">
        <v>0</v>
      </c>
      <c r="J5" s="13">
        <v>0</v>
      </c>
      <c r="K5" s="13">
        <v>0</v>
      </c>
      <c r="L5" s="13">
        <v>0</v>
      </c>
      <c r="M5" s="13">
        <f>SUM(C5:L5)</f>
        <v>475</v>
      </c>
      <c r="N5" s="12" t="s">
        <v>47</v>
      </c>
      <c r="O5" s="17">
        <v>-149.69696969696972</v>
      </c>
    </row>
    <row r="6" spans="1:15" x14ac:dyDescent="0.3">
      <c r="A6" s="30" t="s">
        <v>72</v>
      </c>
      <c r="B6" s="30" t="s">
        <v>3</v>
      </c>
      <c r="C6" s="32">
        <v>0</v>
      </c>
      <c r="D6" s="13">
        <v>85</v>
      </c>
      <c r="E6" s="13">
        <v>0</v>
      </c>
      <c r="F6" s="13">
        <v>130</v>
      </c>
      <c r="G6" s="13">
        <v>0</v>
      </c>
      <c r="H6" s="13">
        <v>0</v>
      </c>
      <c r="I6" s="13">
        <v>0</v>
      </c>
      <c r="J6" s="13">
        <v>0</v>
      </c>
      <c r="K6" s="13">
        <v>0</v>
      </c>
      <c r="L6" s="13">
        <v>0</v>
      </c>
      <c r="M6" s="14">
        <f t="shared" si="0"/>
        <v>215</v>
      </c>
      <c r="N6" s="12" t="s">
        <v>47</v>
      </c>
      <c r="O6" s="17">
        <v>35.303030303030283</v>
      </c>
    </row>
    <row r="7" spans="1:15" x14ac:dyDescent="0.3">
      <c r="A7" s="30" t="s">
        <v>74</v>
      </c>
      <c r="B7" s="30" t="s">
        <v>3</v>
      </c>
      <c r="C7" s="32">
        <v>0</v>
      </c>
      <c r="D7" s="13">
        <v>0</v>
      </c>
      <c r="E7" s="13">
        <v>75</v>
      </c>
      <c r="F7" s="13">
        <v>65</v>
      </c>
      <c r="G7" s="13">
        <v>0</v>
      </c>
      <c r="H7" s="13">
        <v>0</v>
      </c>
      <c r="I7" s="13">
        <v>0</v>
      </c>
      <c r="J7" s="13">
        <v>0</v>
      </c>
      <c r="K7" s="13">
        <v>0</v>
      </c>
      <c r="L7" s="13">
        <v>0</v>
      </c>
      <c r="M7" s="13">
        <f t="shared" si="0"/>
        <v>140</v>
      </c>
      <c r="N7" s="12" t="s">
        <v>48</v>
      </c>
      <c r="O7" s="17">
        <v>105.30303030303028</v>
      </c>
    </row>
    <row r="8" spans="1:15" x14ac:dyDescent="0.3">
      <c r="A8" s="30" t="s">
        <v>76</v>
      </c>
      <c r="B8" s="30" t="s">
        <v>3</v>
      </c>
      <c r="C8" s="32">
        <v>0</v>
      </c>
      <c r="D8" s="13">
        <v>0</v>
      </c>
      <c r="E8" s="13">
        <v>0</v>
      </c>
      <c r="F8" s="13">
        <v>65</v>
      </c>
      <c r="G8" s="13">
        <v>55</v>
      </c>
      <c r="H8" s="13">
        <v>0</v>
      </c>
      <c r="I8" s="13">
        <v>0</v>
      </c>
      <c r="J8" s="13">
        <v>0</v>
      </c>
      <c r="K8" s="13">
        <v>0</v>
      </c>
      <c r="L8" s="13">
        <v>0</v>
      </c>
      <c r="M8" s="13">
        <f t="shared" si="0"/>
        <v>120</v>
      </c>
      <c r="N8" s="12" t="s">
        <v>48</v>
      </c>
      <c r="O8" s="17">
        <v>230.30303030303028</v>
      </c>
    </row>
    <row r="9" spans="1:15" x14ac:dyDescent="0.3">
      <c r="A9" s="30" t="s">
        <v>77</v>
      </c>
      <c r="B9" s="30" t="s">
        <v>3</v>
      </c>
      <c r="C9" s="32">
        <v>0</v>
      </c>
      <c r="D9" s="13">
        <v>0</v>
      </c>
      <c r="E9" s="13">
        <v>0</v>
      </c>
      <c r="F9" s="13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13">
        <v>0</v>
      </c>
      <c r="M9" s="13">
        <f t="shared" si="0"/>
        <v>0</v>
      </c>
      <c r="N9" s="12" t="s">
        <v>48</v>
      </c>
      <c r="O9" s="17">
        <v>230.30303030303028</v>
      </c>
    </row>
    <row r="10" spans="1:15" x14ac:dyDescent="0.3">
      <c r="A10" s="30" t="s">
        <v>78</v>
      </c>
      <c r="B10" s="30" t="s">
        <v>3</v>
      </c>
      <c r="C10" s="32">
        <v>0</v>
      </c>
      <c r="D10" s="13">
        <v>85</v>
      </c>
      <c r="E10" s="13">
        <v>0</v>
      </c>
      <c r="F10" s="13">
        <v>65</v>
      </c>
      <c r="G10" s="13">
        <v>55</v>
      </c>
      <c r="H10" s="13">
        <v>0</v>
      </c>
      <c r="I10" s="13">
        <v>0</v>
      </c>
      <c r="J10" s="13">
        <v>0</v>
      </c>
      <c r="K10" s="13">
        <v>0</v>
      </c>
      <c r="L10" s="13">
        <v>0</v>
      </c>
      <c r="M10" s="14">
        <f t="shared" si="0"/>
        <v>205</v>
      </c>
      <c r="N10" s="12" t="s">
        <v>47</v>
      </c>
      <c r="O10" s="17">
        <v>50.303030303030283</v>
      </c>
    </row>
    <row r="11" spans="1:15" x14ac:dyDescent="0.3">
      <c r="A11" s="30" t="s">
        <v>80</v>
      </c>
      <c r="B11" s="30" t="s">
        <v>3</v>
      </c>
      <c r="C11" s="32">
        <v>0</v>
      </c>
      <c r="D11" s="13">
        <v>0</v>
      </c>
      <c r="E11" s="13">
        <v>0</v>
      </c>
      <c r="F11" s="13">
        <v>130</v>
      </c>
      <c r="G11" s="13">
        <v>220</v>
      </c>
      <c r="H11" s="13">
        <v>0</v>
      </c>
      <c r="I11" s="13">
        <v>50</v>
      </c>
      <c r="J11" s="13">
        <v>0</v>
      </c>
      <c r="K11" s="13">
        <v>0</v>
      </c>
      <c r="L11" s="13">
        <v>0</v>
      </c>
      <c r="M11" s="13">
        <f t="shared" si="0"/>
        <v>400</v>
      </c>
      <c r="N11" s="12" t="s">
        <v>47</v>
      </c>
      <c r="O11" s="17">
        <v>190.30303030303028</v>
      </c>
    </row>
    <row r="12" spans="1:15" x14ac:dyDescent="0.3">
      <c r="A12" s="30" t="s">
        <v>81</v>
      </c>
      <c r="B12" s="30" t="s">
        <v>3</v>
      </c>
      <c r="C12" s="32">
        <v>100</v>
      </c>
      <c r="D12" s="13">
        <v>0</v>
      </c>
      <c r="E12" s="13">
        <v>0</v>
      </c>
      <c r="F12" s="13">
        <v>65</v>
      </c>
      <c r="G12" s="13">
        <v>55</v>
      </c>
      <c r="H12" s="13">
        <v>0</v>
      </c>
      <c r="I12" s="13">
        <v>0</v>
      </c>
      <c r="J12" s="13">
        <v>0</v>
      </c>
      <c r="K12" s="13">
        <v>0</v>
      </c>
      <c r="L12" s="13">
        <v>0</v>
      </c>
      <c r="M12" s="14">
        <f t="shared" si="0"/>
        <v>220</v>
      </c>
      <c r="N12" s="12" t="s">
        <v>47</v>
      </c>
      <c r="O12" s="17">
        <v>35.303030303030283</v>
      </c>
    </row>
    <row r="13" spans="1:15" x14ac:dyDescent="0.3">
      <c r="A13" s="30" t="s">
        <v>82</v>
      </c>
      <c r="B13" s="30" t="s">
        <v>3</v>
      </c>
      <c r="C13" s="32">
        <v>0</v>
      </c>
      <c r="D13" s="13">
        <v>170</v>
      </c>
      <c r="E13" s="13">
        <v>75</v>
      </c>
      <c r="F13" s="13">
        <v>325</v>
      </c>
      <c r="G13" s="13">
        <v>110</v>
      </c>
      <c r="H13" s="13">
        <v>40</v>
      </c>
      <c r="I13" s="13">
        <v>0</v>
      </c>
      <c r="J13" s="13">
        <v>0</v>
      </c>
      <c r="K13" s="13">
        <v>0</v>
      </c>
      <c r="L13" s="13">
        <v>0</v>
      </c>
      <c r="M13" s="13">
        <f t="shared" si="0"/>
        <v>720</v>
      </c>
      <c r="N13" s="12" t="s">
        <v>47</v>
      </c>
      <c r="O13" s="17">
        <v>-339.69696969696975</v>
      </c>
    </row>
    <row r="14" spans="1:15" x14ac:dyDescent="0.3">
      <c r="A14" s="30" t="s">
        <v>83</v>
      </c>
      <c r="B14" s="30" t="s">
        <v>3</v>
      </c>
      <c r="C14" s="32">
        <v>0</v>
      </c>
      <c r="D14" s="13">
        <v>0</v>
      </c>
      <c r="E14" s="13">
        <v>0</v>
      </c>
      <c r="F14" s="13">
        <v>130</v>
      </c>
      <c r="G14" s="13">
        <v>110</v>
      </c>
      <c r="H14" s="13">
        <v>0</v>
      </c>
      <c r="I14" s="13">
        <v>0</v>
      </c>
      <c r="J14" s="13">
        <v>0</v>
      </c>
      <c r="K14" s="13">
        <v>0</v>
      </c>
      <c r="L14" s="13">
        <v>0</v>
      </c>
      <c r="M14" s="14">
        <f t="shared" si="0"/>
        <v>240</v>
      </c>
      <c r="N14" s="12" t="s">
        <v>47</v>
      </c>
      <c r="O14" s="17">
        <v>40.303030303030283</v>
      </c>
    </row>
    <row r="15" spans="1:15" x14ac:dyDescent="0.3">
      <c r="A15" s="30" t="s">
        <v>84</v>
      </c>
      <c r="B15" s="30" t="s">
        <v>3</v>
      </c>
      <c r="C15" s="32">
        <v>0</v>
      </c>
      <c r="D15" s="13">
        <v>85</v>
      </c>
      <c r="E15" s="13">
        <v>150</v>
      </c>
      <c r="F15" s="13">
        <v>0</v>
      </c>
      <c r="G15" s="13">
        <v>55</v>
      </c>
      <c r="H15" s="13">
        <v>0</v>
      </c>
      <c r="I15" s="13">
        <v>25</v>
      </c>
      <c r="J15" s="13">
        <v>0</v>
      </c>
      <c r="K15" s="13">
        <v>0</v>
      </c>
      <c r="L15" s="13">
        <v>0</v>
      </c>
      <c r="M15" s="13">
        <f t="shared" si="0"/>
        <v>315</v>
      </c>
      <c r="N15" s="12" t="s">
        <v>47</v>
      </c>
      <c r="O15" s="17">
        <v>-14.696969696969717</v>
      </c>
    </row>
    <row r="16" spans="1:15" x14ac:dyDescent="0.3">
      <c r="A16" s="30" t="s">
        <v>85</v>
      </c>
      <c r="B16" s="30" t="s">
        <v>3</v>
      </c>
      <c r="C16" s="32">
        <v>0</v>
      </c>
      <c r="D16" s="13">
        <v>85</v>
      </c>
      <c r="E16" s="13">
        <v>0</v>
      </c>
      <c r="F16" s="13">
        <v>0</v>
      </c>
      <c r="G16" s="13">
        <v>0</v>
      </c>
      <c r="H16" s="13">
        <v>0</v>
      </c>
      <c r="I16" s="13">
        <v>0</v>
      </c>
      <c r="J16" s="13">
        <v>0</v>
      </c>
      <c r="K16" s="13">
        <v>0</v>
      </c>
      <c r="L16" s="13">
        <v>0</v>
      </c>
      <c r="M16" s="13">
        <f t="shared" si="0"/>
        <v>85</v>
      </c>
      <c r="N16" s="12" t="s">
        <v>48</v>
      </c>
      <c r="O16" s="17">
        <v>145.30303030303028</v>
      </c>
    </row>
    <row r="17" spans="1:15" x14ac:dyDescent="0.3">
      <c r="A17" s="30" t="s">
        <v>86</v>
      </c>
      <c r="B17" s="30" t="s">
        <v>3</v>
      </c>
      <c r="C17" s="32">
        <v>100</v>
      </c>
      <c r="D17" s="13">
        <v>85</v>
      </c>
      <c r="E17" s="13">
        <v>0</v>
      </c>
      <c r="F17" s="13">
        <v>260</v>
      </c>
      <c r="G17" s="13">
        <v>0</v>
      </c>
      <c r="H17" s="13">
        <v>0</v>
      </c>
      <c r="I17" s="13">
        <v>0</v>
      </c>
      <c r="J17" s="13">
        <v>0</v>
      </c>
      <c r="K17" s="13">
        <v>0</v>
      </c>
      <c r="L17" s="13">
        <v>0</v>
      </c>
      <c r="M17" s="13">
        <f t="shared" si="0"/>
        <v>445</v>
      </c>
      <c r="N17" s="12" t="s">
        <v>47</v>
      </c>
      <c r="O17" s="17">
        <v>-15</v>
      </c>
    </row>
    <row r="18" spans="1:15" x14ac:dyDescent="0.3">
      <c r="A18" s="30" t="s">
        <v>88</v>
      </c>
      <c r="B18" s="30" t="s">
        <v>3</v>
      </c>
      <c r="C18" s="32">
        <v>0</v>
      </c>
      <c r="D18" s="13">
        <v>170</v>
      </c>
      <c r="E18" s="13">
        <v>0</v>
      </c>
      <c r="F18" s="13">
        <v>0</v>
      </c>
      <c r="G18" s="13">
        <v>0</v>
      </c>
      <c r="H18" s="13">
        <v>0</v>
      </c>
      <c r="I18" s="13">
        <v>25</v>
      </c>
      <c r="J18" s="13">
        <v>0</v>
      </c>
      <c r="K18" s="13">
        <v>0</v>
      </c>
      <c r="L18" s="13">
        <v>0</v>
      </c>
      <c r="M18" s="14">
        <f t="shared" si="0"/>
        <v>195</v>
      </c>
      <c r="N18" s="12" t="s">
        <v>48</v>
      </c>
      <c r="O18" s="17">
        <v>40.303030303030283</v>
      </c>
    </row>
    <row r="19" spans="1:15" x14ac:dyDescent="0.3">
      <c r="A19" s="30" t="s">
        <v>89</v>
      </c>
      <c r="B19" s="30" t="s">
        <v>3</v>
      </c>
      <c r="C19" s="32">
        <v>0</v>
      </c>
      <c r="D19" s="13">
        <v>85</v>
      </c>
      <c r="E19" s="13">
        <v>0</v>
      </c>
      <c r="F19" s="13">
        <v>130</v>
      </c>
      <c r="G19" s="13">
        <v>0</v>
      </c>
      <c r="H19" s="13">
        <v>0</v>
      </c>
      <c r="I19" s="13">
        <v>0</v>
      </c>
      <c r="J19" s="13">
        <v>0</v>
      </c>
      <c r="K19" s="13">
        <v>0</v>
      </c>
      <c r="L19" s="13">
        <v>0</v>
      </c>
      <c r="M19" s="14">
        <f t="shared" si="0"/>
        <v>215</v>
      </c>
      <c r="N19" s="12" t="s">
        <v>47</v>
      </c>
      <c r="O19" s="17">
        <v>35.303030303030283</v>
      </c>
    </row>
    <row r="20" spans="1:15" x14ac:dyDescent="0.3">
      <c r="A20" s="30" t="s">
        <v>90</v>
      </c>
      <c r="B20" s="30" t="s">
        <v>3</v>
      </c>
      <c r="C20" s="32">
        <v>0</v>
      </c>
      <c r="D20" s="13">
        <v>0</v>
      </c>
      <c r="E20" s="13">
        <v>75</v>
      </c>
      <c r="F20" s="13">
        <v>195</v>
      </c>
      <c r="G20" s="13">
        <v>55</v>
      </c>
      <c r="H20" s="13">
        <v>0</v>
      </c>
      <c r="I20" s="13">
        <v>0</v>
      </c>
      <c r="J20" s="13">
        <v>10</v>
      </c>
      <c r="K20" s="13">
        <v>0</v>
      </c>
      <c r="L20" s="13">
        <v>0</v>
      </c>
      <c r="M20" s="13">
        <f t="shared" si="0"/>
        <v>335</v>
      </c>
      <c r="N20" s="12" t="s">
        <v>47</v>
      </c>
      <c r="O20" s="17">
        <v>-54.696969696969717</v>
      </c>
    </row>
    <row r="21" spans="1:15" x14ac:dyDescent="0.3">
      <c r="A21" s="30" t="s">
        <v>91</v>
      </c>
      <c r="B21" s="30" t="s">
        <v>3</v>
      </c>
      <c r="C21" s="32">
        <v>0</v>
      </c>
      <c r="D21" s="13">
        <v>85</v>
      </c>
      <c r="E21" s="13">
        <v>150</v>
      </c>
      <c r="F21" s="13">
        <v>0</v>
      </c>
      <c r="G21" s="13">
        <v>110</v>
      </c>
      <c r="H21" s="13">
        <v>0</v>
      </c>
      <c r="I21" s="13">
        <v>0</v>
      </c>
      <c r="J21" s="13">
        <v>0</v>
      </c>
      <c r="K21" s="13">
        <v>0</v>
      </c>
      <c r="L21" s="13">
        <v>0</v>
      </c>
      <c r="M21" s="13">
        <f t="shared" si="0"/>
        <v>345</v>
      </c>
      <c r="N21" s="12" t="s">
        <v>47</v>
      </c>
      <c r="O21" s="17">
        <v>-4.6969696969697168</v>
      </c>
    </row>
  </sheetData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58F457-183D-4D63-8819-CC71C1A6E63C}">
  <sheetPr>
    <pageSetUpPr fitToPage="1"/>
  </sheetPr>
  <dimension ref="A1:T52"/>
  <sheetViews>
    <sheetView topLeftCell="A44" zoomScale="70" zoomScaleNormal="70" workbookViewId="0">
      <selection activeCell="O29" sqref="O29"/>
    </sheetView>
  </sheetViews>
  <sheetFormatPr defaultRowHeight="14.4" x14ac:dyDescent="0.3"/>
  <cols>
    <col min="1" max="1" width="48.88671875" bestFit="1" customWidth="1"/>
    <col min="2" max="2" width="14.6640625" bestFit="1" customWidth="1"/>
    <col min="3" max="3" width="5.5546875" bestFit="1" customWidth="1"/>
    <col min="4" max="4" width="7.44140625" bestFit="1" customWidth="1"/>
    <col min="5" max="5" width="5.5546875" bestFit="1" customWidth="1"/>
    <col min="6" max="6" width="7.44140625" bestFit="1" customWidth="1"/>
    <col min="7" max="10" width="5.44140625" bestFit="1" customWidth="1"/>
    <col min="11" max="11" width="4.44140625" bestFit="1" customWidth="1"/>
    <col min="12" max="12" width="4.6640625" customWidth="1"/>
    <col min="13" max="13" width="23" customWidth="1"/>
    <col min="14" max="14" width="27" bestFit="1" customWidth="1"/>
    <col min="15" max="15" width="23.44140625" customWidth="1"/>
    <col min="16" max="16" width="21.6640625" customWidth="1"/>
    <col min="17" max="17" width="25.6640625" customWidth="1"/>
    <col min="18" max="18" width="39.109375" customWidth="1"/>
  </cols>
  <sheetData>
    <row r="1" spans="1:20" ht="25.8" x14ac:dyDescent="0.5">
      <c r="A1" s="33" t="s">
        <v>92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</row>
    <row r="2" spans="1:20" ht="67.5" customHeight="1" x14ac:dyDescent="0.3">
      <c r="A2" s="23" t="s">
        <v>0</v>
      </c>
      <c r="B2" s="25" t="s">
        <v>1</v>
      </c>
      <c r="C2" s="25" t="s">
        <v>5</v>
      </c>
      <c r="D2" s="25" t="s">
        <v>6</v>
      </c>
      <c r="E2" s="25" t="s">
        <v>7</v>
      </c>
      <c r="F2" s="25" t="s">
        <v>8</v>
      </c>
      <c r="G2" s="25" t="s">
        <v>9</v>
      </c>
      <c r="H2" s="25" t="s">
        <v>10</v>
      </c>
      <c r="I2" s="25" t="s">
        <v>11</v>
      </c>
      <c r="J2" s="25" t="s">
        <v>12</v>
      </c>
      <c r="K2" s="25" t="s">
        <v>13</v>
      </c>
      <c r="L2" s="25" t="s">
        <v>15</v>
      </c>
      <c r="M2" s="26" t="s">
        <v>14</v>
      </c>
      <c r="N2" s="27" t="s">
        <v>49</v>
      </c>
      <c r="O2" s="27" t="s">
        <v>19</v>
      </c>
      <c r="P2" s="27" t="s">
        <v>27</v>
      </c>
      <c r="Q2" s="27" t="s">
        <v>24</v>
      </c>
      <c r="R2" s="27" t="s">
        <v>51</v>
      </c>
      <c r="S2" s="27" t="s">
        <v>52</v>
      </c>
      <c r="T2" s="27" t="s">
        <v>53</v>
      </c>
    </row>
    <row r="3" spans="1:20" x14ac:dyDescent="0.3">
      <c r="A3" t="s">
        <v>66</v>
      </c>
      <c r="B3" s="12" t="s">
        <v>3</v>
      </c>
      <c r="C3" s="13">
        <v>0</v>
      </c>
      <c r="D3" s="13">
        <v>0</v>
      </c>
      <c r="E3" s="13">
        <v>75</v>
      </c>
      <c r="F3" s="13">
        <v>65</v>
      </c>
      <c r="G3" s="13">
        <v>55</v>
      </c>
      <c r="H3" s="13">
        <v>0</v>
      </c>
      <c r="I3" s="13">
        <v>25</v>
      </c>
      <c r="J3" s="13">
        <v>0</v>
      </c>
      <c r="K3" s="13">
        <v>0</v>
      </c>
      <c r="L3" s="13">
        <v>0</v>
      </c>
      <c r="M3" s="14">
        <f>SUM(C3:L3)</f>
        <v>220</v>
      </c>
      <c r="N3" s="12" t="str">
        <f t="shared" ref="N3:N22" si="0">IF(M3&gt;=$M$23,"Na média de produção","ABAIXO")</f>
        <v>ABAIXO</v>
      </c>
      <c r="O3" s="15">
        <f t="shared" ref="O3:O22" si="1">$B$29-M3</f>
        <v>124.33333333333331</v>
      </c>
      <c r="P3" s="15">
        <f>E3+F3+G3</f>
        <v>195</v>
      </c>
      <c r="Q3" s="15">
        <f t="shared" ref="Q3:Q22" si="2">$B$34-P3</f>
        <v>34</v>
      </c>
      <c r="R3" s="20" t="str">
        <f t="shared" ref="R3:R22" si="3">IF(Q3&lt;=0,"Atendeu a Demanda",IF(Q3&lt;=$B$33,"Alta possibilidade de atendimento","Baixa Possibilidade de Atendimento"))</f>
        <v>Alta possibilidade de atendimento</v>
      </c>
      <c r="S3" s="16">
        <v>0</v>
      </c>
      <c r="T3" s="16">
        <v>2</v>
      </c>
    </row>
    <row r="4" spans="1:20" x14ac:dyDescent="0.3">
      <c r="A4" t="s">
        <v>67</v>
      </c>
      <c r="B4" s="12" t="s">
        <v>3</v>
      </c>
      <c r="C4" s="13">
        <v>0</v>
      </c>
      <c r="D4" s="13">
        <v>0</v>
      </c>
      <c r="E4" s="13">
        <v>0</v>
      </c>
      <c r="F4" s="13">
        <v>0</v>
      </c>
      <c r="G4" s="13">
        <v>0</v>
      </c>
      <c r="H4" s="13">
        <v>0</v>
      </c>
      <c r="I4" s="13">
        <v>0</v>
      </c>
      <c r="J4" s="13">
        <v>0</v>
      </c>
      <c r="K4" s="13">
        <v>0</v>
      </c>
      <c r="L4" s="13">
        <v>0</v>
      </c>
      <c r="M4" s="13">
        <f t="shared" ref="M4:M22" si="4">SUM(C4:L4)</f>
        <v>0</v>
      </c>
      <c r="N4" s="12" t="str">
        <f t="shared" si="0"/>
        <v>ABAIXO</v>
      </c>
      <c r="O4" s="15">
        <f t="shared" si="1"/>
        <v>344.33333333333331</v>
      </c>
      <c r="P4" s="15">
        <f>F4</f>
        <v>0</v>
      </c>
      <c r="Q4" s="15">
        <f t="shared" si="2"/>
        <v>229</v>
      </c>
      <c r="R4" s="21" t="str">
        <f t="shared" si="3"/>
        <v>Baixa Possibilidade de Atendimento</v>
      </c>
      <c r="S4" s="16">
        <v>0</v>
      </c>
      <c r="T4" s="16">
        <v>0</v>
      </c>
    </row>
    <row r="5" spans="1:20" x14ac:dyDescent="0.3">
      <c r="A5" t="s">
        <v>68</v>
      </c>
      <c r="B5" s="12" t="s">
        <v>3</v>
      </c>
      <c r="C5" s="13">
        <v>0</v>
      </c>
      <c r="D5" s="13">
        <v>85</v>
      </c>
      <c r="E5" s="13">
        <v>0</v>
      </c>
      <c r="F5" s="13">
        <v>130</v>
      </c>
      <c r="G5" s="13">
        <v>0</v>
      </c>
      <c r="H5" s="13">
        <v>40</v>
      </c>
      <c r="I5" s="13">
        <v>0</v>
      </c>
      <c r="J5" s="13">
        <v>20</v>
      </c>
      <c r="K5" s="13">
        <v>0</v>
      </c>
      <c r="L5" s="13">
        <v>0</v>
      </c>
      <c r="M5" s="13">
        <f t="shared" si="4"/>
        <v>275</v>
      </c>
      <c r="N5" s="12" t="str">
        <f t="shared" si="0"/>
        <v>Na média de produção</v>
      </c>
      <c r="O5" s="15">
        <f t="shared" si="1"/>
        <v>69.333333333333314</v>
      </c>
      <c r="P5" s="15">
        <f>F5+H5</f>
        <v>170</v>
      </c>
      <c r="Q5" s="15">
        <f t="shared" si="2"/>
        <v>59</v>
      </c>
      <c r="R5" s="21" t="str">
        <f t="shared" si="3"/>
        <v>Baixa Possibilidade de Atendimento</v>
      </c>
      <c r="S5" s="16">
        <v>0</v>
      </c>
      <c r="T5" s="16">
        <v>0</v>
      </c>
    </row>
    <row r="6" spans="1:20" x14ac:dyDescent="0.3">
      <c r="A6" t="s">
        <v>70</v>
      </c>
      <c r="B6" s="12" t="s">
        <v>3</v>
      </c>
      <c r="C6" s="13">
        <v>100</v>
      </c>
      <c r="D6" s="13">
        <v>170</v>
      </c>
      <c r="E6" s="13">
        <v>150</v>
      </c>
      <c r="F6" s="13">
        <v>0</v>
      </c>
      <c r="G6" s="13">
        <v>55</v>
      </c>
      <c r="H6" s="13">
        <v>0</v>
      </c>
      <c r="I6" s="13">
        <v>0</v>
      </c>
      <c r="J6" s="13">
        <v>0</v>
      </c>
      <c r="K6" s="13">
        <v>0</v>
      </c>
      <c r="L6" s="13">
        <v>0</v>
      </c>
      <c r="M6" s="13">
        <f>SUM(C6:L6)</f>
        <v>475</v>
      </c>
      <c r="N6" s="12" t="str">
        <f t="shared" si="0"/>
        <v>Na média de produção</v>
      </c>
      <c r="O6" s="15">
        <f t="shared" si="1"/>
        <v>-130.66666666666669</v>
      </c>
      <c r="P6" s="15">
        <f>C6+D6</f>
        <v>270</v>
      </c>
      <c r="Q6" s="15">
        <f t="shared" si="2"/>
        <v>-41</v>
      </c>
      <c r="R6" s="22" t="str">
        <f t="shared" si="3"/>
        <v>Atendeu a Demanda</v>
      </c>
      <c r="S6" s="16">
        <v>0</v>
      </c>
      <c r="T6" s="16">
        <v>4</v>
      </c>
    </row>
    <row r="7" spans="1:20" x14ac:dyDescent="0.3">
      <c r="A7" t="s">
        <v>72</v>
      </c>
      <c r="B7" s="12" t="s">
        <v>3</v>
      </c>
      <c r="C7" s="13">
        <v>0</v>
      </c>
      <c r="D7" s="13">
        <v>85</v>
      </c>
      <c r="E7" s="13">
        <v>0</v>
      </c>
      <c r="F7" s="13">
        <v>130</v>
      </c>
      <c r="G7" s="13">
        <v>0</v>
      </c>
      <c r="H7" s="13">
        <v>0</v>
      </c>
      <c r="I7" s="13">
        <v>0</v>
      </c>
      <c r="J7" s="13">
        <v>0</v>
      </c>
      <c r="K7" s="13">
        <v>0</v>
      </c>
      <c r="L7" s="13">
        <v>0</v>
      </c>
      <c r="M7" s="14">
        <f t="shared" si="4"/>
        <v>215</v>
      </c>
      <c r="N7" s="12" t="str">
        <f t="shared" si="0"/>
        <v>ABAIXO</v>
      </c>
      <c r="O7" s="15">
        <f t="shared" si="1"/>
        <v>129.33333333333331</v>
      </c>
      <c r="P7" s="15">
        <f>D7+F7</f>
        <v>215</v>
      </c>
      <c r="Q7" s="15">
        <f t="shared" si="2"/>
        <v>14</v>
      </c>
      <c r="R7" s="22" t="str">
        <f t="shared" si="3"/>
        <v>Alta possibilidade de atendimento</v>
      </c>
      <c r="S7" s="16">
        <v>3</v>
      </c>
      <c r="T7" s="16">
        <v>12</v>
      </c>
    </row>
    <row r="8" spans="1:20" x14ac:dyDescent="0.3">
      <c r="A8" t="s">
        <v>74</v>
      </c>
      <c r="B8" s="12" t="s">
        <v>3</v>
      </c>
      <c r="C8" s="13">
        <v>0</v>
      </c>
      <c r="D8" s="13">
        <v>0</v>
      </c>
      <c r="E8" s="13">
        <v>75</v>
      </c>
      <c r="F8" s="13">
        <v>65</v>
      </c>
      <c r="G8" s="13">
        <v>0</v>
      </c>
      <c r="H8" s="13">
        <v>0</v>
      </c>
      <c r="I8" s="13">
        <v>0</v>
      </c>
      <c r="J8" s="13">
        <v>0</v>
      </c>
      <c r="K8" s="13">
        <v>0</v>
      </c>
      <c r="L8" s="13">
        <v>0</v>
      </c>
      <c r="M8" s="13">
        <f t="shared" si="4"/>
        <v>140</v>
      </c>
      <c r="N8" s="12" t="str">
        <f t="shared" si="0"/>
        <v>ABAIXO</v>
      </c>
      <c r="O8" s="15">
        <f t="shared" si="1"/>
        <v>204.33333333333331</v>
      </c>
      <c r="P8" s="15">
        <f>D7+55</f>
        <v>140</v>
      </c>
      <c r="Q8" s="15">
        <f t="shared" si="2"/>
        <v>89</v>
      </c>
      <c r="R8" s="21" t="str">
        <f t="shared" si="3"/>
        <v>Baixa Possibilidade de Atendimento</v>
      </c>
      <c r="S8" s="16">
        <v>0</v>
      </c>
      <c r="T8" s="16">
        <v>3</v>
      </c>
    </row>
    <row r="9" spans="1:20" x14ac:dyDescent="0.3">
      <c r="A9" t="s">
        <v>76</v>
      </c>
      <c r="B9" s="12" t="s">
        <v>3</v>
      </c>
      <c r="C9" s="13">
        <v>0</v>
      </c>
      <c r="D9" s="13">
        <v>0</v>
      </c>
      <c r="E9" s="13">
        <v>0</v>
      </c>
      <c r="F9" s="13">
        <v>65</v>
      </c>
      <c r="G9" s="13">
        <v>55</v>
      </c>
      <c r="H9" s="13">
        <v>0</v>
      </c>
      <c r="I9" s="13">
        <v>0</v>
      </c>
      <c r="J9" s="13">
        <v>0</v>
      </c>
      <c r="K9" s="13">
        <v>0</v>
      </c>
      <c r="L9" s="13">
        <v>0</v>
      </c>
      <c r="M9" s="13">
        <f t="shared" si="4"/>
        <v>120</v>
      </c>
      <c r="N9" s="12" t="str">
        <f t="shared" si="0"/>
        <v>ABAIXO</v>
      </c>
      <c r="O9" s="15">
        <f t="shared" si="1"/>
        <v>224.33333333333331</v>
      </c>
      <c r="P9" s="15">
        <v>0</v>
      </c>
      <c r="Q9" s="15">
        <f t="shared" si="2"/>
        <v>229</v>
      </c>
      <c r="R9" s="21" t="str">
        <f t="shared" si="3"/>
        <v>Baixa Possibilidade de Atendimento</v>
      </c>
      <c r="S9" s="16">
        <v>0</v>
      </c>
      <c r="T9" s="16">
        <v>0</v>
      </c>
    </row>
    <row r="10" spans="1:20" x14ac:dyDescent="0.3">
      <c r="A10" t="s">
        <v>77</v>
      </c>
      <c r="B10" s="12" t="s">
        <v>3</v>
      </c>
      <c r="C10" s="13">
        <v>0</v>
      </c>
      <c r="D10" s="13">
        <v>0</v>
      </c>
      <c r="E10" s="13">
        <v>0</v>
      </c>
      <c r="F10" s="13">
        <v>0</v>
      </c>
      <c r="G10" s="13">
        <v>0</v>
      </c>
      <c r="H10" s="13">
        <v>0</v>
      </c>
      <c r="I10" s="13">
        <v>0</v>
      </c>
      <c r="J10" s="13">
        <v>0</v>
      </c>
      <c r="K10" s="13">
        <v>0</v>
      </c>
      <c r="L10" s="13">
        <v>0</v>
      </c>
      <c r="M10" s="13">
        <f t="shared" si="4"/>
        <v>0</v>
      </c>
      <c r="N10" s="12" t="str">
        <f t="shared" si="0"/>
        <v>ABAIXO</v>
      </c>
      <c r="O10" s="15">
        <f t="shared" si="1"/>
        <v>344.33333333333331</v>
      </c>
      <c r="P10" s="15">
        <v>0</v>
      </c>
      <c r="Q10" s="15">
        <f t="shared" si="2"/>
        <v>229</v>
      </c>
      <c r="R10" s="21" t="str">
        <f t="shared" si="3"/>
        <v>Baixa Possibilidade de Atendimento</v>
      </c>
      <c r="S10" s="16">
        <v>0</v>
      </c>
      <c r="T10" s="16">
        <v>0</v>
      </c>
    </row>
    <row r="11" spans="1:20" x14ac:dyDescent="0.3">
      <c r="A11" t="s">
        <v>78</v>
      </c>
      <c r="B11" s="12" t="s">
        <v>3</v>
      </c>
      <c r="C11" s="13">
        <v>0</v>
      </c>
      <c r="D11" s="13">
        <v>85</v>
      </c>
      <c r="E11" s="13">
        <v>0</v>
      </c>
      <c r="F11" s="13">
        <v>65</v>
      </c>
      <c r="G11" s="13">
        <v>55</v>
      </c>
      <c r="H11" s="13">
        <v>0</v>
      </c>
      <c r="I11" s="13">
        <v>0</v>
      </c>
      <c r="J11" s="13">
        <v>0</v>
      </c>
      <c r="K11" s="13">
        <v>0</v>
      </c>
      <c r="L11" s="13">
        <v>0</v>
      </c>
      <c r="M11" s="14">
        <f t="shared" si="4"/>
        <v>205</v>
      </c>
      <c r="N11" s="12" t="str">
        <f t="shared" si="0"/>
        <v>ABAIXO</v>
      </c>
      <c r="O11" s="15">
        <f t="shared" si="1"/>
        <v>139.33333333333331</v>
      </c>
      <c r="P11" s="15">
        <f>D11+F11+G11</f>
        <v>205</v>
      </c>
      <c r="Q11" s="15">
        <f t="shared" si="2"/>
        <v>24</v>
      </c>
      <c r="R11" s="20" t="str">
        <f t="shared" si="3"/>
        <v>Alta possibilidade de atendimento</v>
      </c>
      <c r="S11" s="16">
        <v>0</v>
      </c>
      <c r="T11" s="16">
        <v>11</v>
      </c>
    </row>
    <row r="12" spans="1:20" x14ac:dyDescent="0.3">
      <c r="A12" t="s">
        <v>80</v>
      </c>
      <c r="B12" s="12" t="s">
        <v>3</v>
      </c>
      <c r="C12" s="13">
        <v>0</v>
      </c>
      <c r="D12" s="13">
        <v>0</v>
      </c>
      <c r="E12" s="13">
        <v>0</v>
      </c>
      <c r="F12" s="13">
        <v>130</v>
      </c>
      <c r="G12" s="13">
        <v>220</v>
      </c>
      <c r="H12" s="13">
        <v>0</v>
      </c>
      <c r="I12" s="13">
        <v>50</v>
      </c>
      <c r="J12" s="13">
        <v>0</v>
      </c>
      <c r="K12" s="13">
        <v>0</v>
      </c>
      <c r="L12" s="13">
        <v>0</v>
      </c>
      <c r="M12" s="13">
        <f t="shared" si="4"/>
        <v>400</v>
      </c>
      <c r="N12" s="12" t="str">
        <f t="shared" si="0"/>
        <v>Na média de produção</v>
      </c>
      <c r="O12" s="15">
        <f t="shared" si="1"/>
        <v>-55.666666666666686</v>
      </c>
      <c r="P12" s="15">
        <f>G12</f>
        <v>220</v>
      </c>
      <c r="Q12" s="15">
        <f t="shared" si="2"/>
        <v>9</v>
      </c>
      <c r="R12" s="21" t="str">
        <f t="shared" si="3"/>
        <v>Alta possibilidade de atendimento</v>
      </c>
      <c r="S12" s="16">
        <v>5</v>
      </c>
      <c r="T12" s="16">
        <v>18</v>
      </c>
    </row>
    <row r="13" spans="1:20" x14ac:dyDescent="0.3">
      <c r="A13" t="s">
        <v>81</v>
      </c>
      <c r="B13" s="12" t="s">
        <v>3</v>
      </c>
      <c r="C13" s="13">
        <v>100</v>
      </c>
      <c r="D13" s="13">
        <v>0</v>
      </c>
      <c r="E13" s="13">
        <v>0</v>
      </c>
      <c r="F13" s="13">
        <v>65</v>
      </c>
      <c r="G13" s="13">
        <v>55</v>
      </c>
      <c r="H13" s="13">
        <v>0</v>
      </c>
      <c r="I13" s="13">
        <v>0</v>
      </c>
      <c r="J13" s="13">
        <v>0</v>
      </c>
      <c r="K13" s="13">
        <v>0</v>
      </c>
      <c r="L13" s="13">
        <v>0</v>
      </c>
      <c r="M13" s="14">
        <f t="shared" si="4"/>
        <v>220</v>
      </c>
      <c r="N13" s="12" t="str">
        <f t="shared" si="0"/>
        <v>ABAIXO</v>
      </c>
      <c r="O13" s="15">
        <f t="shared" si="1"/>
        <v>124.33333333333331</v>
      </c>
      <c r="P13" s="15">
        <f>C13+F13+G13</f>
        <v>220</v>
      </c>
      <c r="Q13" s="15">
        <f t="shared" si="2"/>
        <v>9</v>
      </c>
      <c r="R13" s="22" t="str">
        <f t="shared" si="3"/>
        <v>Alta possibilidade de atendimento</v>
      </c>
      <c r="S13" s="16">
        <v>0</v>
      </c>
      <c r="T13" s="16">
        <v>2</v>
      </c>
    </row>
    <row r="14" spans="1:20" x14ac:dyDescent="0.3">
      <c r="A14" t="s">
        <v>82</v>
      </c>
      <c r="B14" s="12" t="s">
        <v>3</v>
      </c>
      <c r="C14" s="13">
        <v>0</v>
      </c>
      <c r="D14" s="13">
        <v>170</v>
      </c>
      <c r="E14" s="13">
        <v>75</v>
      </c>
      <c r="F14" s="13">
        <v>325</v>
      </c>
      <c r="G14" s="13">
        <v>110</v>
      </c>
      <c r="H14" s="13">
        <v>40</v>
      </c>
      <c r="I14" s="13">
        <v>0</v>
      </c>
      <c r="J14" s="13">
        <v>0</v>
      </c>
      <c r="K14" s="13">
        <v>0</v>
      </c>
      <c r="L14" s="13">
        <v>0</v>
      </c>
      <c r="M14" s="13">
        <f t="shared" si="4"/>
        <v>720</v>
      </c>
      <c r="N14" s="12" t="str">
        <f t="shared" si="0"/>
        <v>Na média de produção</v>
      </c>
      <c r="O14" s="15">
        <f t="shared" si="1"/>
        <v>-375.66666666666669</v>
      </c>
      <c r="P14" s="15">
        <f>D14+E14</f>
        <v>245</v>
      </c>
      <c r="Q14" s="15">
        <f t="shared" si="2"/>
        <v>-16</v>
      </c>
      <c r="R14" s="22" t="str">
        <f t="shared" si="3"/>
        <v>Atendeu a Demanda</v>
      </c>
      <c r="S14" s="16">
        <v>3</v>
      </c>
      <c r="T14" s="16">
        <v>0</v>
      </c>
    </row>
    <row r="15" spans="1:20" x14ac:dyDescent="0.3">
      <c r="A15" t="s">
        <v>83</v>
      </c>
      <c r="B15" s="12" t="s">
        <v>3</v>
      </c>
      <c r="C15" s="13">
        <v>0</v>
      </c>
      <c r="D15" s="13">
        <v>0</v>
      </c>
      <c r="E15" s="13">
        <v>0</v>
      </c>
      <c r="F15" s="13">
        <v>130</v>
      </c>
      <c r="G15" s="13">
        <v>110</v>
      </c>
      <c r="H15" s="13">
        <v>0</v>
      </c>
      <c r="I15" s="13">
        <v>0</v>
      </c>
      <c r="J15" s="13">
        <v>0</v>
      </c>
      <c r="K15" s="13">
        <v>0</v>
      </c>
      <c r="L15" s="13">
        <v>0</v>
      </c>
      <c r="M15" s="14">
        <f t="shared" si="4"/>
        <v>240</v>
      </c>
      <c r="N15" s="12" t="str">
        <f t="shared" si="0"/>
        <v>ABAIXO</v>
      </c>
      <c r="O15" s="15">
        <f t="shared" si="1"/>
        <v>104.33333333333331</v>
      </c>
      <c r="P15" s="15">
        <f>F15+40</f>
        <v>170</v>
      </c>
      <c r="Q15" s="15">
        <f t="shared" si="2"/>
        <v>59</v>
      </c>
      <c r="R15" s="20" t="str">
        <f t="shared" si="3"/>
        <v>Baixa Possibilidade de Atendimento</v>
      </c>
      <c r="S15" s="16">
        <v>0</v>
      </c>
      <c r="T15" s="16">
        <v>3</v>
      </c>
    </row>
    <row r="16" spans="1:20" x14ac:dyDescent="0.3">
      <c r="A16" t="s">
        <v>84</v>
      </c>
      <c r="B16" s="12" t="s">
        <v>3</v>
      </c>
      <c r="C16" s="13">
        <v>0</v>
      </c>
      <c r="D16" s="13">
        <v>85</v>
      </c>
      <c r="E16" s="13">
        <v>150</v>
      </c>
      <c r="F16" s="13">
        <v>0</v>
      </c>
      <c r="G16" s="13">
        <v>55</v>
      </c>
      <c r="H16" s="13">
        <v>0</v>
      </c>
      <c r="I16" s="13">
        <v>25</v>
      </c>
      <c r="J16" s="13">
        <v>0</v>
      </c>
      <c r="K16" s="13">
        <v>0</v>
      </c>
      <c r="L16" s="13">
        <v>0</v>
      </c>
      <c r="M16" s="13">
        <f t="shared" si="4"/>
        <v>315</v>
      </c>
      <c r="N16" s="12" t="str">
        <f t="shared" si="0"/>
        <v>Na média de produção</v>
      </c>
      <c r="O16" s="15">
        <f t="shared" si="1"/>
        <v>29.333333333333314</v>
      </c>
      <c r="P16" s="15">
        <f>D16+E16</f>
        <v>235</v>
      </c>
      <c r="Q16" s="15">
        <f t="shared" si="2"/>
        <v>-6</v>
      </c>
      <c r="R16" s="22" t="str">
        <f t="shared" si="3"/>
        <v>Atendeu a Demanda</v>
      </c>
      <c r="S16" s="16">
        <v>1</v>
      </c>
      <c r="T16" s="16">
        <v>5</v>
      </c>
    </row>
    <row r="17" spans="1:20" x14ac:dyDescent="0.3">
      <c r="A17" t="s">
        <v>85</v>
      </c>
      <c r="B17" s="12" t="s">
        <v>3</v>
      </c>
      <c r="C17" s="13">
        <v>0</v>
      </c>
      <c r="D17" s="13">
        <v>85</v>
      </c>
      <c r="E17" s="13">
        <v>0</v>
      </c>
      <c r="F17" s="13">
        <v>0</v>
      </c>
      <c r="G17" s="13">
        <v>0</v>
      </c>
      <c r="H17" s="13">
        <v>0</v>
      </c>
      <c r="I17" s="13">
        <v>0</v>
      </c>
      <c r="J17" s="13">
        <v>0</v>
      </c>
      <c r="K17" s="13">
        <v>0</v>
      </c>
      <c r="L17" s="13">
        <v>0</v>
      </c>
      <c r="M17" s="13">
        <f t="shared" si="4"/>
        <v>85</v>
      </c>
      <c r="N17" s="12" t="str">
        <f t="shared" si="0"/>
        <v>ABAIXO</v>
      </c>
      <c r="O17" s="15">
        <f t="shared" si="1"/>
        <v>259.33333333333331</v>
      </c>
      <c r="P17" s="15">
        <f>D17</f>
        <v>85</v>
      </c>
      <c r="Q17" s="15">
        <f t="shared" si="2"/>
        <v>144</v>
      </c>
      <c r="R17" s="20" t="str">
        <f t="shared" si="3"/>
        <v>Baixa Possibilidade de Atendimento</v>
      </c>
      <c r="S17" s="16">
        <v>0</v>
      </c>
      <c r="T17" s="16">
        <v>0</v>
      </c>
    </row>
    <row r="18" spans="1:20" x14ac:dyDescent="0.3">
      <c r="A18" t="s">
        <v>86</v>
      </c>
      <c r="B18" s="12" t="s">
        <v>3</v>
      </c>
      <c r="C18" s="13">
        <v>100</v>
      </c>
      <c r="D18" s="13">
        <v>85</v>
      </c>
      <c r="E18" s="13">
        <v>0</v>
      </c>
      <c r="F18" s="13">
        <v>260</v>
      </c>
      <c r="G18" s="13">
        <v>0</v>
      </c>
      <c r="H18" s="13">
        <v>0</v>
      </c>
      <c r="I18" s="13">
        <v>0</v>
      </c>
      <c r="J18" s="13">
        <v>0</v>
      </c>
      <c r="K18" s="13">
        <v>0</v>
      </c>
      <c r="L18" s="13">
        <v>0</v>
      </c>
      <c r="M18" s="13">
        <f t="shared" si="4"/>
        <v>445</v>
      </c>
      <c r="N18" s="12" t="str">
        <f t="shared" si="0"/>
        <v>Na média de produção</v>
      </c>
      <c r="O18" s="15">
        <f t="shared" si="1"/>
        <v>-100.66666666666669</v>
      </c>
      <c r="P18" s="15">
        <f>D18+55+55</f>
        <v>195</v>
      </c>
      <c r="Q18" s="15">
        <f t="shared" si="2"/>
        <v>34</v>
      </c>
      <c r="R18" s="22" t="str">
        <f t="shared" si="3"/>
        <v>Alta possibilidade de atendimento</v>
      </c>
      <c r="S18" s="16">
        <v>1</v>
      </c>
      <c r="T18" s="16">
        <v>2</v>
      </c>
    </row>
    <row r="19" spans="1:20" x14ac:dyDescent="0.3">
      <c r="A19" t="s">
        <v>88</v>
      </c>
      <c r="B19" s="12" t="s">
        <v>3</v>
      </c>
      <c r="C19" s="13">
        <v>0</v>
      </c>
      <c r="D19" s="13">
        <v>170</v>
      </c>
      <c r="E19" s="13">
        <v>0</v>
      </c>
      <c r="F19" s="13">
        <v>0</v>
      </c>
      <c r="G19" s="13">
        <v>0</v>
      </c>
      <c r="H19" s="13">
        <v>0</v>
      </c>
      <c r="I19" s="13">
        <v>25</v>
      </c>
      <c r="J19" s="13">
        <v>0</v>
      </c>
      <c r="K19" s="13">
        <v>0</v>
      </c>
      <c r="L19" s="13">
        <v>0</v>
      </c>
      <c r="M19" s="14">
        <f t="shared" si="4"/>
        <v>195</v>
      </c>
      <c r="N19" s="12" t="str">
        <f t="shared" si="0"/>
        <v>ABAIXO</v>
      </c>
      <c r="O19" s="15">
        <f t="shared" si="1"/>
        <v>149.33333333333331</v>
      </c>
      <c r="P19" s="15">
        <f>D19+I19</f>
        <v>195</v>
      </c>
      <c r="Q19" s="15">
        <f t="shared" si="2"/>
        <v>34</v>
      </c>
      <c r="R19" s="20" t="str">
        <f t="shared" si="3"/>
        <v>Alta possibilidade de atendimento</v>
      </c>
      <c r="S19" s="16">
        <v>0</v>
      </c>
      <c r="T19" s="16">
        <v>3</v>
      </c>
    </row>
    <row r="20" spans="1:20" x14ac:dyDescent="0.3">
      <c r="A20" t="s">
        <v>89</v>
      </c>
      <c r="B20" s="12" t="s">
        <v>3</v>
      </c>
      <c r="C20" s="13">
        <v>0</v>
      </c>
      <c r="D20" s="13">
        <v>85</v>
      </c>
      <c r="E20" s="13">
        <v>0</v>
      </c>
      <c r="F20" s="13">
        <v>130</v>
      </c>
      <c r="G20" s="13">
        <v>0</v>
      </c>
      <c r="H20" s="13">
        <v>0</v>
      </c>
      <c r="I20" s="13">
        <v>0</v>
      </c>
      <c r="J20" s="13">
        <v>0</v>
      </c>
      <c r="K20" s="13">
        <v>0</v>
      </c>
      <c r="L20" s="13">
        <v>0</v>
      </c>
      <c r="M20" s="14">
        <f t="shared" si="4"/>
        <v>215</v>
      </c>
      <c r="N20" s="12" t="str">
        <f t="shared" si="0"/>
        <v>ABAIXO</v>
      </c>
      <c r="O20" s="15">
        <f t="shared" si="1"/>
        <v>129.33333333333331</v>
      </c>
      <c r="P20" s="15">
        <f>D20+F20</f>
        <v>215</v>
      </c>
      <c r="Q20" s="15">
        <f t="shared" si="2"/>
        <v>14</v>
      </c>
      <c r="R20" s="20" t="str">
        <f t="shared" si="3"/>
        <v>Alta possibilidade de atendimento</v>
      </c>
      <c r="S20" s="16">
        <v>1</v>
      </c>
      <c r="T20" s="16">
        <v>0</v>
      </c>
    </row>
    <row r="21" spans="1:20" x14ac:dyDescent="0.3">
      <c r="A21" t="s">
        <v>90</v>
      </c>
      <c r="B21" s="12" t="s">
        <v>3</v>
      </c>
      <c r="C21" s="13">
        <v>0</v>
      </c>
      <c r="D21" s="13">
        <v>0</v>
      </c>
      <c r="E21" s="13">
        <v>75</v>
      </c>
      <c r="F21" s="13">
        <v>195</v>
      </c>
      <c r="G21" s="13">
        <v>55</v>
      </c>
      <c r="H21" s="13">
        <v>0</v>
      </c>
      <c r="I21" s="13">
        <v>0</v>
      </c>
      <c r="J21" s="13">
        <v>10</v>
      </c>
      <c r="K21" s="13">
        <v>0</v>
      </c>
      <c r="L21" s="13">
        <v>0</v>
      </c>
      <c r="M21" s="13">
        <f t="shared" si="4"/>
        <v>335</v>
      </c>
      <c r="N21" s="12" t="str">
        <f t="shared" si="0"/>
        <v>Na média de produção</v>
      </c>
      <c r="O21" s="15">
        <f t="shared" si="1"/>
        <v>9.3333333333333144</v>
      </c>
      <c r="P21" s="15">
        <f>E21+110</f>
        <v>185</v>
      </c>
      <c r="Q21" s="15">
        <f t="shared" si="2"/>
        <v>44</v>
      </c>
      <c r="R21" s="20" t="str">
        <f t="shared" si="3"/>
        <v>Alta possibilidade de atendimento</v>
      </c>
      <c r="S21" s="16">
        <v>0</v>
      </c>
      <c r="T21" s="16">
        <v>0</v>
      </c>
    </row>
    <row r="22" spans="1:20" x14ac:dyDescent="0.3">
      <c r="A22" t="s">
        <v>91</v>
      </c>
      <c r="B22" s="12" t="s">
        <v>3</v>
      </c>
      <c r="C22" s="13">
        <v>0</v>
      </c>
      <c r="D22" s="13">
        <v>85</v>
      </c>
      <c r="E22" s="13">
        <v>150</v>
      </c>
      <c r="F22" s="13">
        <v>0</v>
      </c>
      <c r="G22" s="13">
        <v>110</v>
      </c>
      <c r="H22" s="13">
        <v>0</v>
      </c>
      <c r="I22" s="13">
        <v>0</v>
      </c>
      <c r="J22" s="13">
        <v>0</v>
      </c>
      <c r="K22" s="13">
        <v>0</v>
      </c>
      <c r="L22" s="13">
        <v>0</v>
      </c>
      <c r="M22" s="13">
        <f t="shared" si="4"/>
        <v>345</v>
      </c>
      <c r="N22" s="12" t="str">
        <f t="shared" si="0"/>
        <v>Na média de produção</v>
      </c>
      <c r="O22" s="15">
        <f t="shared" si="1"/>
        <v>-0.66666666666668561</v>
      </c>
      <c r="P22" s="15">
        <f>D22+E22+40</f>
        <v>275</v>
      </c>
      <c r="Q22" s="15">
        <f t="shared" si="2"/>
        <v>-46</v>
      </c>
      <c r="R22" s="22" t="str">
        <f t="shared" si="3"/>
        <v>Atendeu a Demanda</v>
      </c>
      <c r="S22" s="16">
        <v>0</v>
      </c>
      <c r="T22" s="16">
        <v>2</v>
      </c>
    </row>
    <row r="23" spans="1:20" x14ac:dyDescent="0.3">
      <c r="A23" s="34" t="s">
        <v>20</v>
      </c>
      <c r="B23" s="34"/>
      <c r="C23" s="8">
        <f t="shared" ref="C23:L23" si="5">SUM(C3:C22)</f>
        <v>300</v>
      </c>
      <c r="D23" s="8">
        <f t="shared" si="5"/>
        <v>1190</v>
      </c>
      <c r="E23" s="8">
        <f t="shared" si="5"/>
        <v>750</v>
      </c>
      <c r="F23" s="8">
        <f t="shared" si="5"/>
        <v>1755</v>
      </c>
      <c r="G23" s="8">
        <f t="shared" si="5"/>
        <v>935</v>
      </c>
      <c r="H23" s="8">
        <f t="shared" si="5"/>
        <v>80</v>
      </c>
      <c r="I23" s="8">
        <f t="shared" si="5"/>
        <v>125</v>
      </c>
      <c r="J23" s="8">
        <f t="shared" si="5"/>
        <v>30</v>
      </c>
      <c r="K23" s="8">
        <f t="shared" si="5"/>
        <v>0</v>
      </c>
      <c r="L23" s="8">
        <f t="shared" si="5"/>
        <v>0</v>
      </c>
      <c r="M23" s="7">
        <f>AVERAGE(M3:M22)</f>
        <v>258.25</v>
      </c>
      <c r="P23" s="7">
        <f>AVERAGE(P3:P22)</f>
        <v>171.75</v>
      </c>
      <c r="S23" s="16">
        <f>SUM(S3:S22)</f>
        <v>14</v>
      </c>
      <c r="T23" s="16">
        <f>SUM(T3:T22)</f>
        <v>67</v>
      </c>
    </row>
    <row r="24" spans="1:20" x14ac:dyDescent="0.3">
      <c r="A24" s="34" t="s">
        <v>18</v>
      </c>
      <c r="B24" s="34"/>
      <c r="C24" s="8">
        <f>C23/100</f>
        <v>3</v>
      </c>
      <c r="D24" s="8">
        <f>D23/85</f>
        <v>14</v>
      </c>
      <c r="E24" s="8">
        <f>E23/70</f>
        <v>10.714285714285714</v>
      </c>
      <c r="F24" s="8">
        <f>F23/55</f>
        <v>31.90909090909091</v>
      </c>
      <c r="G24" s="8">
        <f>G23/40</f>
        <v>23.375</v>
      </c>
      <c r="H24" s="8">
        <f>H23/30</f>
        <v>2.6666666666666665</v>
      </c>
      <c r="I24" s="8">
        <f>I23/20</f>
        <v>6.25</v>
      </c>
      <c r="J24" s="8">
        <f>J23/10</f>
        <v>3</v>
      </c>
      <c r="K24" s="8">
        <v>0</v>
      </c>
      <c r="L24" s="8">
        <v>0</v>
      </c>
      <c r="M24" s="3"/>
    </row>
    <row r="25" spans="1:20" x14ac:dyDescent="0.3">
      <c r="A25" s="5"/>
      <c r="B25" s="5"/>
      <c r="C25" s="4"/>
      <c r="D25" s="4"/>
      <c r="E25" s="4"/>
      <c r="F25" s="4"/>
      <c r="G25" s="4"/>
      <c r="H25" s="4"/>
      <c r="I25" s="4"/>
      <c r="J25" s="4"/>
      <c r="K25" s="4"/>
      <c r="L25" s="4"/>
      <c r="M25" s="3"/>
    </row>
    <row r="26" spans="1:20" x14ac:dyDescent="0.3">
      <c r="A26" s="37" t="s">
        <v>46</v>
      </c>
      <c r="B26" s="37"/>
      <c r="C26" s="4"/>
      <c r="D26" s="4"/>
      <c r="E26" s="4"/>
      <c r="F26" s="4"/>
      <c r="G26" s="4"/>
      <c r="H26" s="4"/>
      <c r="I26" s="4"/>
      <c r="J26" s="4"/>
      <c r="K26" s="4"/>
      <c r="L26" s="4"/>
      <c r="M26" s="3"/>
      <c r="N26">
        <f>14/22</f>
        <v>0.63636363636363635</v>
      </c>
    </row>
    <row r="27" spans="1:20" x14ac:dyDescent="0.3">
      <c r="A27" s="6" t="s">
        <v>28</v>
      </c>
      <c r="B27" s="7">
        <f>M23</f>
        <v>258.25</v>
      </c>
      <c r="C27" s="4"/>
      <c r="D27" s="4"/>
      <c r="E27" s="4"/>
      <c r="F27" s="4"/>
      <c r="G27" s="4"/>
      <c r="H27" s="4"/>
      <c r="I27" s="4"/>
      <c r="J27" s="4"/>
      <c r="K27" s="4"/>
      <c r="L27" s="4"/>
      <c r="M27" s="3"/>
    </row>
    <row r="28" spans="1:20" x14ac:dyDescent="0.3">
      <c r="A28" s="8" t="s">
        <v>17</v>
      </c>
      <c r="B28" s="7">
        <f>M23/3</f>
        <v>86.083333333333329</v>
      </c>
    </row>
    <row r="29" spans="1:20" x14ac:dyDescent="0.3">
      <c r="A29" s="8" t="s">
        <v>25</v>
      </c>
      <c r="B29" s="7">
        <f>B28*4</f>
        <v>344.33333333333331</v>
      </c>
    </row>
    <row r="31" spans="1:20" x14ac:dyDescent="0.3">
      <c r="A31" s="35" t="s">
        <v>26</v>
      </c>
      <c r="B31" s="36"/>
    </row>
    <row r="32" spans="1:20" x14ac:dyDescent="0.3">
      <c r="A32" s="8" t="s">
        <v>21</v>
      </c>
      <c r="B32" s="7">
        <f>P23</f>
        <v>171.75</v>
      </c>
    </row>
    <row r="33" spans="1:3" x14ac:dyDescent="0.3">
      <c r="A33" s="8" t="s">
        <v>22</v>
      </c>
      <c r="B33" s="7">
        <f>B32/3</f>
        <v>57.25</v>
      </c>
    </row>
    <row r="34" spans="1:3" x14ac:dyDescent="0.3">
      <c r="A34" s="8" t="s">
        <v>23</v>
      </c>
      <c r="B34" s="7">
        <f>B33*4</f>
        <v>229</v>
      </c>
    </row>
    <row r="37" spans="1:3" x14ac:dyDescent="0.3">
      <c r="A37" s="34" t="s">
        <v>29</v>
      </c>
      <c r="B37" s="34"/>
      <c r="C37" s="34"/>
    </row>
    <row r="38" spans="1:3" x14ac:dyDescent="0.3">
      <c r="A38" s="10" t="s">
        <v>43</v>
      </c>
      <c r="B38" s="10" t="s">
        <v>44</v>
      </c>
      <c r="C38" s="10" t="s">
        <v>45</v>
      </c>
    </row>
    <row r="39" spans="1:3" x14ac:dyDescent="0.3">
      <c r="A39" s="11" t="s">
        <v>39</v>
      </c>
      <c r="B39" s="2">
        <f>COUNTIFS(M3:M22,"&lt;=50")</f>
        <v>2</v>
      </c>
      <c r="C39" s="16">
        <f>B39/$B$52*100</f>
        <v>10</v>
      </c>
    </row>
    <row r="40" spans="1:3" x14ac:dyDescent="0.3">
      <c r="A40" s="9" t="s">
        <v>38</v>
      </c>
      <c r="B40" s="2">
        <f>COUNTIFS(M3:M22,"&gt;50",M3:M22,"&lt;=100")</f>
        <v>1</v>
      </c>
      <c r="C40" s="16">
        <f t="shared" ref="C40:C51" si="6">B40/$B$52*100</f>
        <v>5</v>
      </c>
    </row>
    <row r="41" spans="1:3" x14ac:dyDescent="0.3">
      <c r="A41" s="9" t="s">
        <v>30</v>
      </c>
      <c r="B41" s="2">
        <f>COUNTIFS(M3:M22,"&gt;100",M3:M22,"&lt;=150")</f>
        <v>2</v>
      </c>
      <c r="C41" s="16">
        <f t="shared" si="6"/>
        <v>10</v>
      </c>
    </row>
    <row r="42" spans="1:3" x14ac:dyDescent="0.3">
      <c r="A42" s="9" t="s">
        <v>34</v>
      </c>
      <c r="B42" s="2">
        <f>COUNTIFS(M3:M22,"&gt;150",M3:M22,"&lt;=200")</f>
        <v>1</v>
      </c>
      <c r="C42" s="16">
        <f t="shared" si="6"/>
        <v>5</v>
      </c>
    </row>
    <row r="43" spans="1:3" x14ac:dyDescent="0.3">
      <c r="A43" s="9" t="s">
        <v>33</v>
      </c>
      <c r="B43" s="2">
        <f>COUNTIFS(M3:M22,"&gt;200",M3:M22,"&lt;=250")</f>
        <v>6</v>
      </c>
      <c r="C43" s="16">
        <f t="shared" si="6"/>
        <v>30</v>
      </c>
    </row>
    <row r="44" spans="1:3" x14ac:dyDescent="0.3">
      <c r="A44" s="9" t="s">
        <v>40</v>
      </c>
      <c r="B44" s="2">
        <f>COUNTIFS(M3:M22,"&gt;250",M3:M22,"&lt;=300")</f>
        <v>1</v>
      </c>
      <c r="C44" s="16">
        <f t="shared" si="6"/>
        <v>5</v>
      </c>
    </row>
    <row r="45" spans="1:3" x14ac:dyDescent="0.3">
      <c r="A45" s="9" t="s">
        <v>31</v>
      </c>
      <c r="B45" s="2">
        <f>COUNTIFS(M3:M22,"&gt;300",M3:M22,"&lt;=350")</f>
        <v>3</v>
      </c>
      <c r="C45" s="16">
        <f t="shared" si="6"/>
        <v>15</v>
      </c>
    </row>
    <row r="46" spans="1:3" x14ac:dyDescent="0.3">
      <c r="A46" s="9" t="s">
        <v>32</v>
      </c>
      <c r="B46" s="2">
        <f>COUNTIFS(M3:M22,"&gt;350",M3:M22,"&lt;=400")</f>
        <v>1</v>
      </c>
      <c r="C46" s="16">
        <f t="shared" si="6"/>
        <v>5</v>
      </c>
    </row>
    <row r="47" spans="1:3" x14ac:dyDescent="0.3">
      <c r="A47" s="9" t="s">
        <v>35</v>
      </c>
      <c r="B47" s="2">
        <f>COUNTIFS(M3:M22,"&gt;400",M3:M22,"&lt;=450")</f>
        <v>1</v>
      </c>
      <c r="C47" s="16">
        <f t="shared" si="6"/>
        <v>5</v>
      </c>
    </row>
    <row r="48" spans="1:3" x14ac:dyDescent="0.3">
      <c r="A48" s="9" t="s">
        <v>36</v>
      </c>
      <c r="B48" s="2">
        <f>COUNTIFS(M3:M22,"&gt;450",M3:M22,"&lt;=500")</f>
        <v>1</v>
      </c>
      <c r="C48" s="16">
        <f t="shared" si="6"/>
        <v>5</v>
      </c>
    </row>
    <row r="49" spans="1:3" x14ac:dyDescent="0.3">
      <c r="A49" s="9" t="s">
        <v>41</v>
      </c>
      <c r="B49" s="2">
        <f>COUNTIFS(M3:M22,"&gt;500",M3:M22,"&lt;=550")</f>
        <v>0</v>
      </c>
      <c r="C49" s="16">
        <f t="shared" si="6"/>
        <v>0</v>
      </c>
    </row>
    <row r="50" spans="1:3" x14ac:dyDescent="0.3">
      <c r="A50" s="9" t="s">
        <v>37</v>
      </c>
      <c r="B50" s="2">
        <f>COUNTIFS(M3:M22,"&gt;550",M3:M22,"&lt;=600")</f>
        <v>0</v>
      </c>
      <c r="C50" s="16">
        <f t="shared" si="6"/>
        <v>0</v>
      </c>
    </row>
    <row r="51" spans="1:3" x14ac:dyDescent="0.3">
      <c r="A51" s="9" t="s">
        <v>50</v>
      </c>
      <c r="B51" s="2">
        <f>COUNTIFS(M3:M22,"&gt;600",M3:M22,"&lt;=5000")</f>
        <v>1</v>
      </c>
      <c r="C51" s="16">
        <f t="shared" si="6"/>
        <v>5</v>
      </c>
    </row>
    <row r="52" spans="1:3" x14ac:dyDescent="0.3">
      <c r="A52" s="9" t="s">
        <v>42</v>
      </c>
      <c r="B52" s="2">
        <f>SUM(B39:B51)</f>
        <v>20</v>
      </c>
      <c r="C52" s="16">
        <f>SUM(C39:C51)</f>
        <v>100</v>
      </c>
    </row>
  </sheetData>
  <mergeCells count="6">
    <mergeCell ref="A1:Q1"/>
    <mergeCell ref="A37:C37"/>
    <mergeCell ref="A23:B23"/>
    <mergeCell ref="A24:B24"/>
    <mergeCell ref="A26:B26"/>
    <mergeCell ref="A31:B31"/>
  </mergeCells>
  <pageMargins left="0.511811024" right="0.511811024" top="0.78740157499999996" bottom="0.78740157499999996" header="0.31496062000000002" footer="0.31496062000000002"/>
  <pageSetup paperSize="9" scale="56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42F02B-801F-4AAA-918B-611AE978F775}">
  <dimension ref="A1:A63"/>
  <sheetViews>
    <sheetView tabSelected="1" workbookViewId="0">
      <selection activeCell="A8" sqref="A8"/>
    </sheetView>
  </sheetViews>
  <sheetFormatPr defaultRowHeight="14.4" x14ac:dyDescent="0.3"/>
  <sheetData>
    <row r="1" spans="1:1" x14ac:dyDescent="0.3">
      <c r="A1" t="s">
        <v>93</v>
      </c>
    </row>
    <row r="2" spans="1:1" x14ac:dyDescent="0.3">
      <c r="A2" t="s">
        <v>94</v>
      </c>
    </row>
    <row r="5" spans="1:1" x14ac:dyDescent="0.3">
      <c r="A5" t="s">
        <v>95</v>
      </c>
    </row>
    <row r="6" spans="1:1" x14ac:dyDescent="0.3">
      <c r="A6" t="s">
        <v>96</v>
      </c>
    </row>
    <row r="8" spans="1:1" x14ac:dyDescent="0.3">
      <c r="A8" t="s">
        <v>97</v>
      </c>
    </row>
    <row r="9" spans="1:1" x14ac:dyDescent="0.3">
      <c r="A9" t="s">
        <v>98</v>
      </c>
    </row>
    <row r="11" spans="1:1" x14ac:dyDescent="0.3">
      <c r="A11" t="s">
        <v>99</v>
      </c>
    </row>
    <row r="13" spans="1:1" x14ac:dyDescent="0.3">
      <c r="A13" t="s">
        <v>100</v>
      </c>
    </row>
    <row r="15" spans="1:1" x14ac:dyDescent="0.3">
      <c r="A15" t="s">
        <v>101</v>
      </c>
    </row>
    <row r="16" spans="1:1" x14ac:dyDescent="0.3">
      <c r="A16" t="s">
        <v>102</v>
      </c>
    </row>
    <row r="17" spans="1:1" x14ac:dyDescent="0.3">
      <c r="A17" t="s">
        <v>103</v>
      </c>
    </row>
    <row r="18" spans="1:1" x14ac:dyDescent="0.3">
      <c r="A18" t="s">
        <v>104</v>
      </c>
    </row>
    <row r="19" spans="1:1" x14ac:dyDescent="0.3">
      <c r="A19" t="s">
        <v>105</v>
      </c>
    </row>
    <row r="20" spans="1:1" x14ac:dyDescent="0.3">
      <c r="A20" t="s">
        <v>106</v>
      </c>
    </row>
    <row r="21" spans="1:1" x14ac:dyDescent="0.3">
      <c r="A21" t="s">
        <v>107</v>
      </c>
    </row>
    <row r="22" spans="1:1" x14ac:dyDescent="0.3">
      <c r="A22" t="s">
        <v>108</v>
      </c>
    </row>
    <row r="23" spans="1:1" x14ac:dyDescent="0.3">
      <c r="A23" t="s">
        <v>109</v>
      </c>
    </row>
    <row r="24" spans="1:1" x14ac:dyDescent="0.3">
      <c r="A24" t="s">
        <v>110</v>
      </c>
    </row>
    <row r="26" spans="1:1" x14ac:dyDescent="0.3">
      <c r="A26" t="s">
        <v>111</v>
      </c>
    </row>
    <row r="27" spans="1:1" x14ac:dyDescent="0.3">
      <c r="A27" t="s">
        <v>112</v>
      </c>
    </row>
    <row r="28" spans="1:1" x14ac:dyDescent="0.3">
      <c r="A28" t="s">
        <v>113</v>
      </c>
    </row>
    <row r="29" spans="1:1" x14ac:dyDescent="0.3">
      <c r="A29" t="s">
        <v>114</v>
      </c>
    </row>
    <row r="30" spans="1:1" x14ac:dyDescent="0.3">
      <c r="A30" t="s">
        <v>115</v>
      </c>
    </row>
    <row r="31" spans="1:1" x14ac:dyDescent="0.3">
      <c r="A31" t="s">
        <v>116</v>
      </c>
    </row>
    <row r="33" spans="1:1" x14ac:dyDescent="0.3">
      <c r="A33" t="s">
        <v>117</v>
      </c>
    </row>
    <row r="34" spans="1:1" x14ac:dyDescent="0.3">
      <c r="A34" t="s">
        <v>118</v>
      </c>
    </row>
    <row r="35" spans="1:1" x14ac:dyDescent="0.3">
      <c r="A35" t="s">
        <v>119</v>
      </c>
    </row>
    <row r="36" spans="1:1" x14ac:dyDescent="0.3">
      <c r="A36" t="s">
        <v>120</v>
      </c>
    </row>
    <row r="38" spans="1:1" x14ac:dyDescent="0.3">
      <c r="A38" t="s">
        <v>121</v>
      </c>
    </row>
    <row r="39" spans="1:1" x14ac:dyDescent="0.3">
      <c r="A39" t="s">
        <v>122</v>
      </c>
    </row>
    <row r="41" spans="1:1" x14ac:dyDescent="0.3">
      <c r="A41" t="s">
        <v>123</v>
      </c>
    </row>
    <row r="42" spans="1:1" x14ac:dyDescent="0.3">
      <c r="A42" t="s">
        <v>124</v>
      </c>
    </row>
    <row r="43" spans="1:1" x14ac:dyDescent="0.3">
      <c r="A43" t="s">
        <v>125</v>
      </c>
    </row>
    <row r="44" spans="1:1" x14ac:dyDescent="0.3">
      <c r="A44" t="s">
        <v>126</v>
      </c>
    </row>
    <row r="45" spans="1:1" x14ac:dyDescent="0.3">
      <c r="A45" t="s">
        <v>127</v>
      </c>
    </row>
    <row r="46" spans="1:1" x14ac:dyDescent="0.3">
      <c r="A46" t="s">
        <v>128</v>
      </c>
    </row>
    <row r="47" spans="1:1" x14ac:dyDescent="0.3">
      <c r="A47" t="s">
        <v>129</v>
      </c>
    </row>
    <row r="48" spans="1:1" x14ac:dyDescent="0.3">
      <c r="A48" t="s">
        <v>130</v>
      </c>
    </row>
    <row r="49" spans="1:1" x14ac:dyDescent="0.3">
      <c r="A49" t="s">
        <v>131</v>
      </c>
    </row>
    <row r="50" spans="1:1" x14ac:dyDescent="0.3">
      <c r="A50" t="s">
        <v>132</v>
      </c>
    </row>
    <row r="51" spans="1:1" x14ac:dyDescent="0.3">
      <c r="A51" t="s">
        <v>133</v>
      </c>
    </row>
    <row r="52" spans="1:1" x14ac:dyDescent="0.3">
      <c r="A52" t="s">
        <v>134</v>
      </c>
    </row>
    <row r="53" spans="1:1" x14ac:dyDescent="0.3">
      <c r="A53" t="s">
        <v>135</v>
      </c>
    </row>
    <row r="54" spans="1:1" x14ac:dyDescent="0.3">
      <c r="A54" t="s">
        <v>136</v>
      </c>
    </row>
    <row r="55" spans="1:1" x14ac:dyDescent="0.3">
      <c r="A55" t="s">
        <v>137</v>
      </c>
    </row>
    <row r="57" spans="1:1" x14ac:dyDescent="0.3">
      <c r="A57" t="s">
        <v>138</v>
      </c>
    </row>
    <row r="59" spans="1:1" x14ac:dyDescent="0.3">
      <c r="A59" t="s">
        <v>139</v>
      </c>
    </row>
    <row r="60" spans="1:1" x14ac:dyDescent="0.3">
      <c r="A60" t="s">
        <v>140</v>
      </c>
    </row>
    <row r="61" spans="1:1" x14ac:dyDescent="0.3">
      <c r="A61" t="s">
        <v>141</v>
      </c>
    </row>
    <row r="62" spans="1:1" x14ac:dyDescent="0.3">
      <c r="A62" t="s">
        <v>142</v>
      </c>
    </row>
    <row r="63" spans="1:1" x14ac:dyDescent="0.3">
      <c r="A63" t="s">
        <v>143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8</vt:i4>
      </vt:variant>
    </vt:vector>
  </HeadingPairs>
  <TitlesOfParts>
    <vt:vector size="8" baseType="lpstr">
      <vt:lpstr>Docentes 2024</vt:lpstr>
      <vt:lpstr>Docentes FILTRO</vt:lpstr>
      <vt:lpstr>Produção Docentes  (DATA)</vt:lpstr>
      <vt:lpstr>Produção Docentes  (área 1)</vt:lpstr>
      <vt:lpstr>Produção Docentes  (Área 2)</vt:lpstr>
      <vt:lpstr>Dados Mala Direta</vt:lpstr>
      <vt:lpstr>Prod Doc Art, L  e CL (Data)</vt:lpstr>
      <vt:lpstr>Sobre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Marcus Túlio</dc:creator>
  <cp:keywords/>
  <dc:description/>
  <cp:lastModifiedBy>Marcus Túlio Freitas Pinheiro</cp:lastModifiedBy>
  <cp:revision/>
  <cp:lastPrinted>2023-10-09T10:23:00Z</cp:lastPrinted>
  <dcterms:created xsi:type="dcterms:W3CDTF">2022-03-16T12:40:56Z</dcterms:created>
  <dcterms:modified xsi:type="dcterms:W3CDTF">2025-02-28T07:36:53Z</dcterms:modified>
  <cp:category/>
  <cp:contentStatus/>
</cp:coreProperties>
</file>