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F:\escolas a fazer\NOVA PAE\OUTROS\"/>
    </mc:Choice>
  </mc:AlternateContent>
  <bookViews>
    <workbookView showSheetTabs="0" xWindow="0" yWindow="0" windowWidth="16815" windowHeight="7620" firstSheet="1"/>
  </bookViews>
  <sheets>
    <sheet name="Pág Inicial" sheetId="6" r:id="rId1"/>
    <sheet name="SOCIODEMOGRÁFICA" sheetId="2" r:id="rId2"/>
    <sheet name="SUSTENTABILIDADE" sheetId="3" r:id="rId3"/>
    <sheet name="CHECK LIST" sheetId="4" r:id="rId4"/>
    <sheet name="AQPC" sheetId="1" r:id="rId5"/>
    <sheet name="RESULTADOS" sheetId="5" r:id="rId6"/>
    <sheet name="ANÁLISE INTEGRADA" sheetId="7" r:id="rId7"/>
  </sheets>
  <externalReferences>
    <externalReference r:id="rId8"/>
  </externalReferences>
  <definedNames>
    <definedName name="_xlnm.Print_Area" localSheetId="6">'ANÁLISE INTEGRADA'!$A$1:$P$19</definedName>
    <definedName name="_xlnm.Print_Area" localSheetId="5">RESULTADOS!$A$1:$AC$66</definedName>
    <definedName name="_xlnm.Print_Area" localSheetId="2">SUSTENTABILIDADE!$A$1:$T$96</definedName>
  </definedNames>
  <calcPr calcId="152511"/>
</workbook>
</file>

<file path=xl/calcChain.xml><?xml version="1.0" encoding="utf-8"?>
<calcChain xmlns="http://schemas.openxmlformats.org/spreadsheetml/2006/main">
  <c r="E16" i="2" l="1"/>
  <c r="C10" i="7" l="1"/>
  <c r="C12" i="7"/>
  <c r="F52" i="5" l="1"/>
  <c r="G52" i="5"/>
  <c r="H52" i="5"/>
  <c r="E52" i="5"/>
  <c r="D51" i="5"/>
  <c r="F41" i="5"/>
  <c r="G41" i="5"/>
  <c r="H41" i="5"/>
  <c r="I41" i="5"/>
  <c r="J41" i="5"/>
  <c r="K41" i="5"/>
  <c r="L41" i="5"/>
  <c r="M41" i="5"/>
  <c r="N41" i="5"/>
  <c r="O41" i="5"/>
  <c r="P41" i="5"/>
  <c r="E41" i="5"/>
  <c r="M40" i="5"/>
  <c r="I40" i="5"/>
  <c r="E40" i="5"/>
  <c r="G33" i="5"/>
  <c r="F33" i="5"/>
  <c r="H33" i="5"/>
  <c r="I33" i="5"/>
  <c r="J33" i="5"/>
  <c r="K33" i="5"/>
  <c r="L33" i="5"/>
  <c r="M33" i="5"/>
  <c r="N33" i="5"/>
  <c r="O33" i="5"/>
  <c r="P33" i="5"/>
  <c r="Q33" i="5"/>
  <c r="R33" i="5"/>
  <c r="E33" i="5"/>
  <c r="O32" i="5"/>
  <c r="M32" i="5"/>
  <c r="I32" i="5"/>
  <c r="E32" i="5"/>
  <c r="F20" i="5"/>
  <c r="G20" i="5"/>
  <c r="H20" i="5"/>
  <c r="I20" i="5"/>
  <c r="J20" i="5"/>
  <c r="K20" i="5"/>
  <c r="L20" i="5"/>
  <c r="M20" i="5"/>
  <c r="N20" i="5"/>
  <c r="O20" i="5"/>
  <c r="P20" i="5"/>
  <c r="Q20" i="5"/>
  <c r="E20" i="5"/>
  <c r="O19" i="5"/>
  <c r="M19" i="5"/>
  <c r="I19" i="5"/>
  <c r="E19" i="5"/>
  <c r="F11" i="5"/>
  <c r="G11" i="5"/>
  <c r="H11" i="5"/>
  <c r="I11" i="5"/>
  <c r="J11" i="5"/>
  <c r="K11" i="5"/>
  <c r="L11" i="5"/>
  <c r="M11" i="5"/>
  <c r="N11" i="5"/>
  <c r="O11" i="5"/>
  <c r="P11" i="5"/>
  <c r="E11" i="5"/>
  <c r="O10" i="5"/>
  <c r="M10" i="5"/>
  <c r="I10" i="5"/>
  <c r="E10" i="5"/>
  <c r="E5" i="5"/>
  <c r="F4" i="5"/>
  <c r="G4" i="5"/>
  <c r="H4" i="5"/>
  <c r="I4" i="5"/>
  <c r="J4" i="5"/>
  <c r="K4" i="5"/>
  <c r="L4" i="5"/>
  <c r="M4" i="5"/>
  <c r="N4" i="5"/>
  <c r="O4" i="5"/>
  <c r="E4" i="5"/>
  <c r="E3" i="5"/>
  <c r="D36" i="5"/>
  <c r="A16" i="3" l="1"/>
  <c r="A17" i="5" l="1"/>
  <c r="L30" i="1" l="1"/>
  <c r="L29" i="1"/>
  <c r="L27" i="1"/>
  <c r="L26" i="1"/>
  <c r="L25" i="1"/>
  <c r="L24" i="1"/>
  <c r="L23" i="1"/>
  <c r="L22" i="1"/>
  <c r="L21" i="1"/>
  <c r="L18" i="1"/>
  <c r="L17" i="1"/>
  <c r="L16" i="1"/>
  <c r="L15" i="1"/>
  <c r="L14" i="1"/>
  <c r="L11" i="1"/>
  <c r="L8" i="1"/>
  <c r="L7" i="1"/>
  <c r="L6" i="1"/>
  <c r="L4" i="1"/>
  <c r="L19" i="1" l="1"/>
  <c r="M18" i="1"/>
  <c r="M6" i="1"/>
  <c r="M7" i="1"/>
  <c r="M10" i="1"/>
  <c r="M13" i="1"/>
  <c r="M14" i="1"/>
  <c r="M15" i="1"/>
  <c r="M16" i="1"/>
  <c r="M17" i="1"/>
  <c r="L31" i="1"/>
  <c r="M19" i="1" l="1"/>
  <c r="U37" i="5" s="1"/>
  <c r="T35" i="5" s="1"/>
  <c r="J10" i="7" l="1"/>
  <c r="B10" i="7"/>
  <c r="M91" i="3"/>
  <c r="N91" i="3"/>
  <c r="O95" i="3" s="1"/>
  <c r="O91" i="3"/>
  <c r="L91" i="3"/>
  <c r="H53" i="5"/>
  <c r="R95" i="3" l="1"/>
  <c r="P95" i="3"/>
  <c r="M50" i="5" s="1"/>
  <c r="G53" i="5"/>
  <c r="E53" i="5"/>
  <c r="L93" i="3"/>
  <c r="H94" i="3" s="1"/>
  <c r="F53" i="5"/>
  <c r="A16" i="1"/>
  <c r="D56" i="5"/>
  <c r="D45" i="5"/>
  <c r="D24" i="5"/>
  <c r="D15" i="5"/>
  <c r="O76" i="3" l="1"/>
  <c r="P42" i="5" s="1"/>
  <c r="N36" i="3"/>
  <c r="N40" i="3" s="1"/>
  <c r="O36" i="3"/>
  <c r="P21" i="5" s="1"/>
  <c r="P36" i="3"/>
  <c r="Q21" i="5" s="1"/>
  <c r="N56" i="3"/>
  <c r="O56" i="3"/>
  <c r="P34" i="5" s="1"/>
  <c r="P56" i="3"/>
  <c r="Q34" i="5" s="1"/>
  <c r="Q56" i="3"/>
  <c r="R34" i="5" s="1"/>
  <c r="N76" i="3"/>
  <c r="O42" i="5" s="1"/>
  <c r="O16" i="3"/>
  <c r="O20" i="3" s="1"/>
  <c r="N16" i="3"/>
  <c r="M16" i="3"/>
  <c r="M20" i="3" s="1"/>
  <c r="L16" i="3"/>
  <c r="K16" i="3"/>
  <c r="K20" i="3" s="1"/>
  <c r="J16" i="3"/>
  <c r="I16" i="3"/>
  <c r="H16" i="3"/>
  <c r="G16" i="3"/>
  <c r="G20" i="3" s="1"/>
  <c r="F16" i="3"/>
  <c r="E16" i="3"/>
  <c r="D16" i="3"/>
  <c r="P20" i="3" l="1"/>
  <c r="Q20" i="3"/>
  <c r="N60" i="3"/>
  <c r="E12" i="5"/>
  <c r="H18" i="3"/>
  <c r="L18" i="3"/>
  <c r="N18" i="3"/>
  <c r="N58" i="3"/>
  <c r="N38" i="3"/>
  <c r="D18" i="3"/>
  <c r="O21" i="5"/>
  <c r="O34" i="5"/>
  <c r="H19" i="3" l="1"/>
  <c r="H17" i="3" s="1"/>
  <c r="A16" i="4"/>
  <c r="M76" i="3"/>
  <c r="N42" i="5" s="1"/>
  <c r="L76" i="3"/>
  <c r="O80" i="3" s="1"/>
  <c r="K76" i="3"/>
  <c r="L42" i="5" s="1"/>
  <c r="J76" i="3"/>
  <c r="K42" i="5" s="1"/>
  <c r="I76" i="3"/>
  <c r="H76" i="3"/>
  <c r="G76" i="3"/>
  <c r="H42" i="5" s="1"/>
  <c r="F76" i="3"/>
  <c r="E76" i="3"/>
  <c r="F42" i="5" s="1"/>
  <c r="D76" i="3"/>
  <c r="G80" i="3" s="1"/>
  <c r="M56" i="3"/>
  <c r="N34" i="5" s="1"/>
  <c r="L56" i="3"/>
  <c r="M60" i="3" s="1"/>
  <c r="K56" i="3"/>
  <c r="J56" i="3"/>
  <c r="I56" i="3"/>
  <c r="J34" i="5" s="1"/>
  <c r="H56" i="3"/>
  <c r="G56" i="3"/>
  <c r="F56" i="3"/>
  <c r="E56" i="3"/>
  <c r="F34" i="5" s="1"/>
  <c r="D56" i="3"/>
  <c r="M36" i="3"/>
  <c r="M40" i="3" s="1"/>
  <c r="L36" i="3"/>
  <c r="K36" i="3"/>
  <c r="K40" i="3" s="1"/>
  <c r="J36" i="3"/>
  <c r="I36" i="3"/>
  <c r="J21" i="5" s="1"/>
  <c r="H36" i="3"/>
  <c r="G36" i="3"/>
  <c r="H21" i="5" s="1"/>
  <c r="F36" i="3"/>
  <c r="G21" i="5" s="1"/>
  <c r="E36" i="3"/>
  <c r="D36" i="3"/>
  <c r="D40" i="3" s="1"/>
  <c r="A16" i="2"/>
  <c r="B3" i="7" s="1"/>
  <c r="Q40" i="3" l="1"/>
  <c r="S40" i="3"/>
  <c r="T40" i="3" s="1"/>
  <c r="K80" i="3"/>
  <c r="R40" i="3"/>
  <c r="M9" i="5" s="1"/>
  <c r="L34" i="5"/>
  <c r="K60" i="3"/>
  <c r="H34" i="5"/>
  <c r="G60" i="3"/>
  <c r="J42" i="5"/>
  <c r="L21" i="5"/>
  <c r="N21" i="5"/>
  <c r="K34" i="5"/>
  <c r="G34" i="5"/>
  <c r="K21" i="5"/>
  <c r="E21" i="5"/>
  <c r="F21" i="5"/>
  <c r="D38" i="3"/>
  <c r="I21" i="5"/>
  <c r="H38" i="3"/>
  <c r="M21" i="5"/>
  <c r="L38" i="3"/>
  <c r="E34" i="5"/>
  <c r="D58" i="3"/>
  <c r="I34" i="5"/>
  <c r="H58" i="3"/>
  <c r="M34" i="5"/>
  <c r="L58" i="3"/>
  <c r="E42" i="5"/>
  <c r="D78" i="3"/>
  <c r="I42" i="5"/>
  <c r="H78" i="3"/>
  <c r="M42" i="5"/>
  <c r="L78" i="3"/>
  <c r="G42" i="5"/>
  <c r="H92" i="3"/>
  <c r="F12" i="5"/>
  <c r="H12" i="5"/>
  <c r="L12" i="5"/>
  <c r="G12" i="5"/>
  <c r="K12" i="5"/>
  <c r="M12" i="5"/>
  <c r="O12" i="5"/>
  <c r="P12" i="5"/>
  <c r="N12" i="5"/>
  <c r="J12" i="5"/>
  <c r="E190" i="4"/>
  <c r="E209" i="4"/>
  <c r="S60" i="3" l="1"/>
  <c r="R60" i="3"/>
  <c r="O31" i="5" s="1"/>
  <c r="P80" i="3"/>
  <c r="M39" i="5" s="1"/>
  <c r="Q80" i="3"/>
  <c r="H79" i="3"/>
  <c r="H77" i="3" s="1"/>
  <c r="H59" i="3"/>
  <c r="H57" i="3" s="1"/>
  <c r="H39" i="3"/>
  <c r="H37" i="3" s="1"/>
  <c r="F209" i="4"/>
  <c r="F199" i="4"/>
  <c r="F74" i="4"/>
  <c r="F7" i="4"/>
  <c r="Q95" i="3" l="1"/>
  <c r="L60" i="5" s="1"/>
  <c r="S95" i="3"/>
  <c r="G80" i="4"/>
  <c r="D74" i="4"/>
  <c r="D85" i="4" s="1"/>
  <c r="H20" i="1" l="1"/>
  <c r="I20" i="1"/>
  <c r="J20" i="1"/>
  <c r="K20" i="1"/>
  <c r="G20" i="1"/>
  <c r="B5" i="7" l="1"/>
  <c r="L20" i="1"/>
  <c r="G207" i="4"/>
  <c r="M21" i="1" l="1"/>
  <c r="M25" i="1"/>
  <c r="M29" i="1"/>
  <c r="M24" i="1"/>
  <c r="M23" i="1"/>
  <c r="M27" i="1"/>
  <c r="M22" i="1"/>
  <c r="M26" i="1"/>
  <c r="M30" i="1"/>
  <c r="F171" i="4"/>
  <c r="D168" i="4"/>
  <c r="D148" i="4"/>
  <c r="E148" i="4"/>
  <c r="E146" i="4"/>
  <c r="E143" i="4"/>
  <c r="E136" i="4"/>
  <c r="E131" i="4"/>
  <c r="E93" i="4"/>
  <c r="M31" i="1" l="1"/>
  <c r="Z37" i="5" s="1"/>
  <c r="Y35" i="5" s="1"/>
  <c r="G212" i="4"/>
  <c r="G211" i="4"/>
  <c r="D209" i="4"/>
  <c r="D199" i="4"/>
  <c r="G208" i="4"/>
  <c r="G204" i="4"/>
  <c r="G205" i="4"/>
  <c r="G206" i="4"/>
  <c r="G203" i="4"/>
  <c r="G201" i="4"/>
  <c r="F190" i="4"/>
  <c r="D190" i="4"/>
  <c r="G198" i="4"/>
  <c r="G197" i="4"/>
  <c r="G196" i="4"/>
  <c r="G195" i="4"/>
  <c r="G194" i="4"/>
  <c r="G192" i="4"/>
  <c r="E187" i="4"/>
  <c r="F187" i="4"/>
  <c r="D187" i="4"/>
  <c r="G189" i="4"/>
  <c r="G210" i="4"/>
  <c r="G200" i="4"/>
  <c r="E199" i="4"/>
  <c r="E213" i="4" s="1"/>
  <c r="G191" i="4"/>
  <c r="G188" i="4"/>
  <c r="G173" i="4"/>
  <c r="G174" i="4"/>
  <c r="G175" i="4"/>
  <c r="G176" i="4"/>
  <c r="G177" i="4"/>
  <c r="G178" i="4"/>
  <c r="D171" i="4"/>
  <c r="G170" i="4"/>
  <c r="E168" i="4"/>
  <c r="F168" i="4"/>
  <c r="E166" i="4"/>
  <c r="F166" i="4"/>
  <c r="D166" i="4"/>
  <c r="E164" i="4"/>
  <c r="F164" i="4"/>
  <c r="D164" i="4"/>
  <c r="E162" i="4"/>
  <c r="F162" i="4"/>
  <c r="D162" i="4"/>
  <c r="E159" i="4"/>
  <c r="F159" i="4"/>
  <c r="D159" i="4"/>
  <c r="E157" i="4"/>
  <c r="F157" i="4"/>
  <c r="D157" i="4"/>
  <c r="G152" i="4"/>
  <c r="G153" i="4"/>
  <c r="G154" i="4"/>
  <c r="G155" i="4"/>
  <c r="F148" i="4"/>
  <c r="F146" i="4"/>
  <c r="D146" i="4"/>
  <c r="G145" i="4"/>
  <c r="F143" i="4"/>
  <c r="D143" i="4"/>
  <c r="G138" i="4"/>
  <c r="G139" i="4"/>
  <c r="G140" i="4"/>
  <c r="G141" i="4"/>
  <c r="G142" i="4"/>
  <c r="F136" i="4"/>
  <c r="D136" i="4"/>
  <c r="G133" i="4"/>
  <c r="G134" i="4"/>
  <c r="G135" i="4"/>
  <c r="F131" i="4"/>
  <c r="D131" i="4"/>
  <c r="E129" i="4"/>
  <c r="F129" i="4"/>
  <c r="D129" i="4"/>
  <c r="E126" i="4"/>
  <c r="F126" i="4"/>
  <c r="D126" i="4"/>
  <c r="G127" i="4"/>
  <c r="G172" i="4"/>
  <c r="E171" i="4"/>
  <c r="G169" i="4"/>
  <c r="G167" i="4"/>
  <c r="G165" i="4"/>
  <c r="G163" i="4"/>
  <c r="G160" i="4"/>
  <c r="G158" i="4"/>
  <c r="G151" i="4"/>
  <c r="G149" i="4"/>
  <c r="G147" i="4"/>
  <c r="G144" i="4"/>
  <c r="G137" i="4"/>
  <c r="G132" i="4"/>
  <c r="G130" i="4"/>
  <c r="G115" i="4"/>
  <c r="G116" i="4"/>
  <c r="G117" i="4"/>
  <c r="E113" i="4"/>
  <c r="F113" i="4"/>
  <c r="F118" i="4" s="1"/>
  <c r="A122" i="4" s="1"/>
  <c r="D113" i="4"/>
  <c r="D118" i="4" s="1"/>
  <c r="G114" i="4"/>
  <c r="F93" i="4"/>
  <c r="F105" i="4" s="1"/>
  <c r="A109" i="4" s="1"/>
  <c r="D93" i="4"/>
  <c r="D105" i="4" s="1"/>
  <c r="E105" i="4"/>
  <c r="G104" i="4"/>
  <c r="G103" i="4"/>
  <c r="G102" i="4"/>
  <c r="G101" i="4"/>
  <c r="G99" i="4"/>
  <c r="G97" i="4"/>
  <c r="G96" i="4"/>
  <c r="G94" i="4"/>
  <c r="E74" i="4"/>
  <c r="E85" i="4" s="1"/>
  <c r="F85" i="4"/>
  <c r="G84" i="4"/>
  <c r="G83" i="4"/>
  <c r="G82" i="4"/>
  <c r="G76" i="4"/>
  <c r="G77" i="4"/>
  <c r="G78" i="4"/>
  <c r="G79" i="4"/>
  <c r="G75" i="4"/>
  <c r="F213" i="4" l="1"/>
  <c r="A217" i="4" s="1"/>
  <c r="B12" i="7"/>
  <c r="D213" i="4"/>
  <c r="G214" i="4"/>
  <c r="A89" i="4"/>
  <c r="C89" i="4" s="1"/>
  <c r="D89" i="4" s="1"/>
  <c r="AB4" i="5" s="1"/>
  <c r="D88" i="4"/>
  <c r="C109" i="4"/>
  <c r="D109" i="4" s="1"/>
  <c r="G213" i="4"/>
  <c r="D179" i="4"/>
  <c r="F179" i="4"/>
  <c r="A183" i="4" s="1"/>
  <c r="E179" i="4"/>
  <c r="G180" i="4"/>
  <c r="D182" i="4" s="1"/>
  <c r="D18" i="4"/>
  <c r="G6" i="4"/>
  <c r="E64" i="4"/>
  <c r="F64" i="4"/>
  <c r="D64" i="4"/>
  <c r="G65" i="4"/>
  <c r="E58" i="4"/>
  <c r="F58" i="4"/>
  <c r="D58" i="4"/>
  <c r="G60" i="4"/>
  <c r="G59" i="4"/>
  <c r="E46" i="4"/>
  <c r="E50" i="4"/>
  <c r="F50" i="4"/>
  <c r="D50" i="4"/>
  <c r="G52" i="4"/>
  <c r="G54" i="4"/>
  <c r="G51" i="4"/>
  <c r="F46" i="4"/>
  <c r="G48" i="4"/>
  <c r="D46" i="4"/>
  <c r="G63" i="4"/>
  <c r="G62" i="4"/>
  <c r="G57" i="4"/>
  <c r="G56" i="4"/>
  <c r="G49" i="4"/>
  <c r="G47" i="4"/>
  <c r="G44" i="4"/>
  <c r="G43" i="4"/>
  <c r="F38" i="4"/>
  <c r="D38" i="4"/>
  <c r="G42" i="4"/>
  <c r="G41" i="4"/>
  <c r="G39" i="4"/>
  <c r="E38" i="4"/>
  <c r="G35" i="4"/>
  <c r="G36" i="4"/>
  <c r="G37" i="4"/>
  <c r="E33" i="4"/>
  <c r="F33" i="4"/>
  <c r="D33" i="4"/>
  <c r="E31" i="4"/>
  <c r="F28" i="4"/>
  <c r="F18" i="4"/>
  <c r="G34" i="4"/>
  <c r="E18" i="4"/>
  <c r="E28" i="4"/>
  <c r="D28" i="4"/>
  <c r="F31" i="4"/>
  <c r="D31" i="4"/>
  <c r="G32" i="4"/>
  <c r="G30" i="4"/>
  <c r="G29" i="4"/>
  <c r="G25" i="4"/>
  <c r="G23" i="4"/>
  <c r="G21" i="4"/>
  <c r="G20" i="4"/>
  <c r="G19" i="4"/>
  <c r="G16" i="4"/>
  <c r="D15" i="4"/>
  <c r="F15" i="4"/>
  <c r="E15" i="4"/>
  <c r="G13" i="4"/>
  <c r="E12" i="4"/>
  <c r="F12" i="4"/>
  <c r="D12" i="4"/>
  <c r="E7" i="4"/>
  <c r="D7" i="4"/>
  <c r="G11" i="4"/>
  <c r="G10" i="4"/>
  <c r="G8" i="4"/>
  <c r="F5" i="4"/>
  <c r="E5" i="4"/>
  <c r="D5" i="4"/>
  <c r="J12" i="7" l="1"/>
  <c r="B13" i="7"/>
  <c r="AB5" i="5"/>
  <c r="E109" i="4"/>
  <c r="X5" i="5" s="1"/>
  <c r="E89" i="4"/>
  <c r="X4" i="5" s="1"/>
  <c r="D216" i="4"/>
  <c r="C217" i="4"/>
  <c r="D217" i="4" s="1"/>
  <c r="C183" i="4"/>
  <c r="D183" i="4" s="1"/>
  <c r="E66" i="4"/>
  <c r="D66" i="4"/>
  <c r="F66" i="4"/>
  <c r="A70" i="4" s="1"/>
  <c r="G67" i="4"/>
  <c r="D69" i="4" s="1"/>
  <c r="AC4" i="5" l="1"/>
  <c r="AB8" i="5"/>
  <c r="E217" i="4"/>
  <c r="X8" i="5" s="1"/>
  <c r="AC5" i="5"/>
  <c r="AB7" i="5"/>
  <c r="E183" i="4"/>
  <c r="X7" i="5" s="1"/>
  <c r="C70" i="4"/>
  <c r="D70" i="4" s="1"/>
  <c r="B33" i="5"/>
  <c r="AC7" i="5" l="1"/>
  <c r="H54" i="5"/>
  <c r="E54" i="5"/>
  <c r="F54" i="5"/>
  <c r="G54" i="5"/>
  <c r="O43" i="5"/>
  <c r="M43" i="5"/>
  <c r="K43" i="5"/>
  <c r="I43" i="5"/>
  <c r="G43" i="5"/>
  <c r="E43" i="5"/>
  <c r="E13" i="5"/>
  <c r="P43" i="5"/>
  <c r="N43" i="5"/>
  <c r="L43" i="5"/>
  <c r="J43" i="5"/>
  <c r="H43" i="5"/>
  <c r="F43" i="5"/>
  <c r="R35" i="5"/>
  <c r="P35" i="5"/>
  <c r="N35" i="5"/>
  <c r="L35" i="5"/>
  <c r="J35" i="5"/>
  <c r="H35" i="5"/>
  <c r="F35" i="5"/>
  <c r="P22" i="5"/>
  <c r="L22" i="5"/>
  <c r="H22" i="5"/>
  <c r="E22" i="5"/>
  <c r="N13" i="5"/>
  <c r="J13" i="5"/>
  <c r="F13" i="5"/>
  <c r="P13" i="5"/>
  <c r="H13" i="5"/>
  <c r="J22" i="5"/>
  <c r="Q35" i="5"/>
  <c r="M35" i="5"/>
  <c r="M30" i="5" s="1"/>
  <c r="I35" i="5"/>
  <c r="E35" i="5"/>
  <c r="M13" i="5"/>
  <c r="M14" i="5" s="1"/>
  <c r="Q22" i="5"/>
  <c r="M22" i="5"/>
  <c r="I22" i="5"/>
  <c r="L13" i="5"/>
  <c r="N22" i="5"/>
  <c r="F22" i="5"/>
  <c r="O35" i="5"/>
  <c r="K35" i="5"/>
  <c r="G35" i="5"/>
  <c r="O13" i="5"/>
  <c r="K13" i="5"/>
  <c r="G13" i="5"/>
  <c r="O22" i="5"/>
  <c r="K22" i="5"/>
  <c r="G22" i="5"/>
  <c r="AC8" i="5"/>
  <c r="AB3" i="5"/>
  <c r="E70" i="4"/>
  <c r="X3" i="5" s="1"/>
  <c r="B32" i="5"/>
  <c r="A34" i="5" s="1"/>
  <c r="O23" i="5" l="1"/>
  <c r="O30" i="5"/>
  <c r="I23" i="5"/>
  <c r="E30" i="5"/>
  <c r="E23" i="5"/>
  <c r="E44" i="5"/>
  <c r="I44" i="5"/>
  <c r="M44" i="5"/>
  <c r="O14" i="5"/>
  <c r="M23" i="5"/>
  <c r="I30" i="5"/>
  <c r="E14" i="5"/>
  <c r="E55" i="5"/>
  <c r="E49" i="5" s="1"/>
  <c r="I57" i="5" s="1"/>
  <c r="AC3" i="5"/>
  <c r="I26" i="5" l="1"/>
  <c r="I25" i="5" s="1"/>
  <c r="E47" i="5"/>
  <c r="I46" i="5" s="1"/>
  <c r="I29" i="5"/>
  <c r="I37" i="5" s="1"/>
  <c r="G118" i="4"/>
  <c r="D121" i="4" s="1"/>
  <c r="E118" i="4"/>
  <c r="G105" i="4"/>
  <c r="D108" i="4" s="1"/>
  <c r="G85" i="4"/>
  <c r="C122" i="4" l="1"/>
  <c r="D122" i="4" s="1"/>
  <c r="C181" i="4"/>
  <c r="C215" i="4"/>
  <c r="C87" i="4"/>
  <c r="C68" i="4"/>
  <c r="C120" i="4"/>
  <c r="C107" i="4"/>
  <c r="AB6" i="5" l="1"/>
  <c r="AB9" i="5" s="1"/>
  <c r="E122" i="4"/>
  <c r="X6" i="5" s="1"/>
  <c r="V9" i="5" l="1"/>
  <c r="B7" i="7" s="1"/>
  <c r="AC6" i="5"/>
  <c r="AC9" i="5" s="1"/>
  <c r="N16" i="2" l="1"/>
  <c r="N6" i="5" s="1"/>
  <c r="N7" i="5" s="1"/>
  <c r="K16" i="2"/>
  <c r="J16" i="2"/>
  <c r="J6" i="5" s="1"/>
  <c r="J7" i="5" s="1"/>
  <c r="G16" i="2"/>
  <c r="G6" i="5" s="1"/>
  <c r="G7" i="5" s="1"/>
  <c r="F16" i="2"/>
  <c r="F6" i="5" s="1"/>
  <c r="F7" i="5" s="1"/>
  <c r="L16" i="2"/>
  <c r="L6" i="5" s="1"/>
  <c r="L7" i="5" s="1"/>
  <c r="I16" i="2"/>
  <c r="I6" i="5" s="1"/>
  <c r="I7" i="5" s="1"/>
  <c r="O16" i="2"/>
  <c r="O6" i="5" s="1"/>
  <c r="O7" i="5" s="1"/>
  <c r="H16" i="2"/>
  <c r="H6" i="5" s="1"/>
  <c r="H7" i="5" s="1"/>
  <c r="M16" i="2"/>
  <c r="M6" i="5" s="1"/>
  <c r="M7" i="5" s="1"/>
  <c r="E6" i="5" l="1"/>
  <c r="E7" i="5" s="1"/>
  <c r="K17" i="2"/>
  <c r="N17" i="2"/>
  <c r="K6" i="5"/>
  <c r="K7" i="5" s="1"/>
  <c r="E17" i="2"/>
  <c r="G17" i="2"/>
  <c r="I12" i="5"/>
  <c r="I13" i="5" s="1"/>
  <c r="I14" i="5" s="1"/>
  <c r="I18" i="5" s="1"/>
  <c r="I16" i="5" s="1"/>
</calcChain>
</file>

<file path=xl/comments1.xml><?xml version="1.0" encoding="utf-8"?>
<comments xmlns="http://schemas.openxmlformats.org/spreadsheetml/2006/main">
  <authors>
    <author>Dani</author>
  </authors>
  <commentList>
    <comment ref="A21" authorId="0" shapeId="0">
      <text>
        <r>
          <rPr>
            <sz val="9"/>
            <color indexed="81"/>
            <rFont val="Tahoma"/>
            <family val="2"/>
          </rPr>
          <t xml:space="preserve">Caso necessite incluir detalhes como: licença médica, ausência de funcionários, etc.
</t>
        </r>
      </text>
    </comment>
  </commentList>
</comments>
</file>

<file path=xl/comments2.xml><?xml version="1.0" encoding="utf-8"?>
<comments xmlns="http://schemas.openxmlformats.org/spreadsheetml/2006/main">
  <authors>
    <author>Dani</author>
    <author/>
  </authors>
  <commentList>
    <comment ref="A21" authorId="0" shapeId="0">
      <text>
        <r>
          <rPr>
            <sz val="9"/>
            <color indexed="81"/>
            <rFont val="Tahoma"/>
            <family val="2"/>
          </rPr>
          <t xml:space="preserve">Caso necessite incluir detalhes como: licença médica, ausência de funcionários, etc.
</t>
        </r>
      </text>
    </comment>
    <comment ref="D69" authorId="1" shapeId="0">
      <text>
        <r>
          <rPr>
            <sz val="11"/>
            <color rgb="FF000000"/>
            <rFont val="Calibri"/>
            <family val="2"/>
          </rPr>
          <t>Revisar o preenchimento se o valor for diferente de 0.</t>
        </r>
      </text>
    </comment>
  </commentList>
</comments>
</file>

<file path=xl/sharedStrings.xml><?xml version="1.0" encoding="utf-8"?>
<sst xmlns="http://schemas.openxmlformats.org/spreadsheetml/2006/main" count="680" uniqueCount="443">
  <si>
    <t>%</t>
  </si>
  <si>
    <t>TOTAL</t>
  </si>
  <si>
    <t>I</t>
  </si>
  <si>
    <t>II</t>
  </si>
  <si>
    <t>III</t>
  </si>
  <si>
    <t>V</t>
  </si>
  <si>
    <t>Bloco 1 - EDIFÍCIOS E INSTALAÇÕES DA ÁREA DE PREPARO DE ALIMENTOS</t>
  </si>
  <si>
    <t>Assinale sua resposta colocando o número 1</t>
  </si>
  <si>
    <t>sim</t>
  </si>
  <si>
    <t>não</t>
  </si>
  <si>
    <t>NA</t>
  </si>
  <si>
    <t>¹ Íntegro, sem presença de: sujidades, rachaduras, bolor e descolamento.</t>
  </si>
  <si>
    <t>² Sem presença de: bolor, umidade, descascamento, descolamento e rachaduras.</t>
  </si>
  <si>
    <t>- apresentam acabamento liso, impermeável, lavável, de cor clara e em bom estado de conservação ³?</t>
  </si>
  <si>
    <t>³ sem presença de: sujidades, umidade, bolor, descascamento e descolamento.</t>
  </si>
  <si>
    <t>A água é ligada à rede pública ou à rede alternativa com sua potabilidade atestada por laudos?</t>
  </si>
  <si>
    <t>Há presença de reservatório de água?</t>
  </si>
  <si>
    <t>O reservatório de água é edificado e/ou revestido de material que não comprometa a qualidade da água, conforme legislação específica , e é livre de rachaduras, vazamentos, infiltrações, descascamentos, em adequado estado de higiene e conservação e devidamente tampado?</t>
  </si>
  <si>
    <t>O reservatório de água é higienizado semestralmente, por empresa especializada e pessoal capacitado e existe de registro que comprovam a higienização?</t>
  </si>
  <si>
    <t>9 Sem a presença de: vazamentos, sujidades, acúmulo de água no chão, rachaduras em paredes e vasos, bolor e umidade em portas, paredes e forro.</t>
  </si>
  <si>
    <t>10 Sem a presença de: rachaduras e sujidades.</t>
  </si>
  <si>
    <t>7 Telas com espaços de 1 milímetro ou menos entre os fios.</t>
  </si>
  <si>
    <t>11 Estrados móveis, com altura mínima de 25cm do chão e distância de 10cm entre as pilhas</t>
  </si>
  <si>
    <t>SIM</t>
  </si>
  <si>
    <t>NÃO</t>
  </si>
  <si>
    <t>ERROS DA PLANILHA</t>
  </si>
  <si>
    <t>Bloco 2 - EQUIPAMENTOS PARA TEMPERATURA CONTROLADA</t>
  </si>
  <si>
    <t>Bloco 3 - MANIPULADORES</t>
  </si>
  <si>
    <t>12 Uniforme limpo, com proteção para os cabelos, com sapatos fechados.</t>
  </si>
  <si>
    <t>13Feridas, micoses, sangramentos, coriza, infecções respiratórias.</t>
  </si>
  <si>
    <t>Bloco 4 - RECEBIMENTO</t>
  </si>
  <si>
    <t>No recebimento são verificadas as características dos alimentos como: aparência, cor, odor, textura, consistência entre outros.</t>
  </si>
  <si>
    <t>É verificada a integridade das embalagens dos alimentos no momento do recebimento?</t>
  </si>
  <si>
    <t>Bloco 5 - PROCESSOS E PRODUÇÕES</t>
  </si>
  <si>
    <t>umedecer as mãos e antebraços com água; lavar com sabonete líquido, neutro, inodoro; enxaguar bem as mãos e antebraços; secar as mãos com papel toalha descartável não reciclado ou qualquer outro método de secagem que não permita a recontaminação das mãos; aplicar anti-séptico, deixando secar naturalmente; os anti-sépticos utilizados, devem ter registro no MS para esta finalidade; pode ser utilizado sabonete liquido anti-séptico; neste caso, massagear as mãos e antebraços durante o tempo recomendado pelo fabricante.</t>
  </si>
  <si>
    <t>Os alimentos são retirados das caixas de papelão e/ou madeira em que são recebidos? São substituídos por monoblocos limpos ou sacos plásticos apropriados quando necessário?</t>
  </si>
  <si>
    <t>As etiquetas contêm: nome do produto, prazo de validade de acordo com a rotulagem original e prazo de utilização de acordo com os critérios de uso?</t>
  </si>
  <si>
    <t>Existe os 4 POPs (Procedimento Operacional Padronizado) obrigatórios na escola, de acesso aos manipuladores de alimentos?</t>
  </si>
  <si>
    <t>(POP Higienização de instalações, equipamentos e móveis; POP Controle integrado de vetores e pragas urbanas; POP Higienização do reservatório; POP Higiene e saúde dos manipuladores)</t>
  </si>
  <si>
    <t>São guardadas amostras (100g/100mL) de todos os alimentos preparados, incluindo bebidas (100mL), em embalagens apropriadas para alimentos, de primeiro uso, identificadas com no mínimo a denominação e data da preparação, armazenadas por 72 horas sob refrigeração, em temperatura inferior a 5º C?</t>
  </si>
  <si>
    <t>15 trocas de água a cada 4 h ou em água sob refrigeração ou por meio de fervura</t>
  </si>
  <si>
    <t>Bloco 6 - HIGIENIZAÇÃO AMBIENTAL</t>
  </si>
  <si>
    <t>16 Utilizando água, sabão, desinfetante por 15minutos e enxágue, ou utilizar desinfecção por calor (água quente) por 15 minutos</t>
  </si>
  <si>
    <t>16 com solução clorada entre 100 a 250 ppm, com tempo mínimo de contato de 15 minutos eadequado enxágue final. E/ou com álcool 70% pelo tempo suficiente para secar naturalmente e sem enxágue final? E/ou a desinfecção é pelo calor? (15 minutos de imersão em água fervente, no mínimo a 80°C, sem necessidade de enxágue)</t>
  </si>
  <si>
    <t>Panos de limpeza descartáveis, quando utilizados em superfícies que entram em contato com alimentos, são descartados a cada 2 horas, não excedendo 3 horas, não sendo utilizados novamente?</t>
  </si>
  <si>
    <t>Panos de limpeza não descartáveis, quando utilizados em superfícies que entram em contato com alimentos, são trocados a cada 2 horas, não excedendo 3 horas e são higienizados através de esfregação com solução de detergente neutro, desinfetados através de fervura em água por 15 minutos ou em solução clorada a 200ppm, por 15 minutos, e enxaguados com água potável e corrente?</t>
  </si>
  <si>
    <t>As esponjas de louça são fervidas diariamente durante 5 minutos?</t>
  </si>
  <si>
    <t xml:space="preserve">Regular </t>
  </si>
  <si>
    <t>de 50% a 74%</t>
  </si>
  <si>
    <t xml:space="preserve">Ruim </t>
  </si>
  <si>
    <t xml:space="preserve">Péssimo </t>
  </si>
  <si>
    <t xml:space="preserve">   RESULTADOS</t>
  </si>
  <si>
    <r>
      <t>É de uso exclusivo de funcionários e apresentam-se em bom estado de conservação</t>
    </r>
    <r>
      <rPr>
        <vertAlign val="superscript"/>
        <sz val="8"/>
        <color rgb="FF000000"/>
        <rFont val="Arial"/>
        <family val="2"/>
      </rPr>
      <t>9</t>
    </r>
    <r>
      <rPr>
        <sz val="8"/>
        <color rgb="FF000000"/>
        <rFont val="Arial"/>
        <family val="2"/>
      </rPr>
      <t>?</t>
    </r>
  </si>
  <si>
    <t>MÉTODO AQPC</t>
  </si>
  <si>
    <t>CHECK LIST</t>
  </si>
  <si>
    <t>Página Inicial</t>
  </si>
  <si>
    <t xml:space="preserve">  </t>
  </si>
  <si>
    <t>Os arredores oferecem condições gerais de higiene e sanidade, evitando riscos de contaminação? E essa área é ausente de lixo, objetos em desuso, animais, insetos e roedores?</t>
  </si>
  <si>
    <t>Apresenta-se em bom estado de conservação¹ e permite o não acúmulo de sujidades e água?</t>
  </si>
  <si>
    <t>Os ralos são de fácil limpeza, dotados de mecanismos de fechamento, possuindo grelhas com proteção telada ou outro dispositivo que impeça a entrada de roedores e de baratas? (Nota: As canaletas devem obedecer os mesmos critérios)</t>
  </si>
  <si>
    <t>É impermeável, lavável e de fácil higienização (lavagem e desinfecção)?</t>
  </si>
  <si>
    <t>As paredes e divisórias são de cores claras, constituídas de material e acabamento lisos, impermeáveis, laváveis e em bom estado de conservação²?</t>
  </si>
  <si>
    <t>As portas são de cores claras, constituídas de superfícies lisas, não absorventes de fácil limpeza, e dotadas de fechamento automático, molas ou sistema similar?</t>
  </si>
  <si>
    <t>Possuem proteção nas aberturas inferiores para impedir a entrada de insetos e roedores?</t>
  </si>
  <si>
    <r>
      <t>As janelas apresentam superfícies lisas, laváveis e em bom estado de conservação</t>
    </r>
    <r>
      <rPr>
        <vertAlign val="superscript"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>?</t>
    </r>
  </si>
  <si>
    <r>
      <t>As portas apresentam-se em bom estado de conservação</t>
    </r>
    <r>
      <rPr>
        <vertAlign val="superscript"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 e perfeitamente ajustadas aos batentes?</t>
    </r>
  </si>
  <si>
    <r>
      <rPr>
        <i/>
        <sz val="5"/>
        <color rgb="FF000000"/>
        <rFont val="Arial"/>
        <family val="2"/>
      </rPr>
      <t>5</t>
    </r>
    <r>
      <rPr>
        <i/>
        <sz val="8"/>
        <color rgb="FF000000"/>
        <rFont val="Arial"/>
        <family val="2"/>
      </rPr>
      <t>sem presença de: sujidades, umidade, bolor, descascamento e descolamento.</t>
    </r>
  </si>
  <si>
    <r>
      <rPr>
        <i/>
        <sz val="5"/>
        <color rgb="FF000000"/>
        <rFont val="Arial"/>
        <family val="2"/>
      </rPr>
      <t>6</t>
    </r>
    <r>
      <rPr>
        <i/>
        <sz val="8"/>
        <color rgb="FF000000"/>
        <rFont val="Arial"/>
        <family val="2"/>
      </rPr>
      <t xml:space="preserve"> sem presença de: sujidades, umidade, bolor, descascamento e descolamento.</t>
    </r>
  </si>
  <si>
    <r>
      <t>Quando usadas para ventilação, são dotadas de telas milimétricas</t>
    </r>
    <r>
      <rPr>
        <vertAlign val="superscript"/>
        <sz val="8"/>
        <color rgb="FF000000"/>
        <rFont val="Arial"/>
        <family val="2"/>
      </rPr>
      <t>7</t>
    </r>
    <r>
      <rPr>
        <sz val="8"/>
        <color rgb="FF000000"/>
        <rFont val="Arial"/>
        <family val="2"/>
      </rPr>
      <t xml:space="preserve"> facilmente removíveis para limpeza e mantidas em bom estado de conservação</t>
    </r>
    <r>
      <rPr>
        <vertAlign val="superscript"/>
        <sz val="8"/>
        <color rgb="FF000000"/>
        <rFont val="Arial"/>
        <family val="2"/>
      </rPr>
      <t>8</t>
    </r>
    <r>
      <rPr>
        <sz val="8"/>
        <color rgb="FF000000"/>
        <rFont val="Arial"/>
        <family val="2"/>
      </rPr>
      <t>?</t>
    </r>
  </si>
  <si>
    <r>
      <rPr>
        <i/>
        <sz val="5"/>
        <color rgb="FF000000"/>
        <rFont val="Arial"/>
        <family val="2"/>
      </rPr>
      <t>8</t>
    </r>
    <r>
      <rPr>
        <i/>
        <sz val="8"/>
        <color rgb="FF000000"/>
        <rFont val="Arial"/>
        <family val="2"/>
      </rPr>
      <t>  Sem a presença de: furos, acúmulo de sujidades e gordura, descolamento da borda</t>
    </r>
  </si>
  <si>
    <r>
      <rPr>
        <i/>
        <sz val="5"/>
        <color rgb="FF000000"/>
        <rFont val="Arial"/>
        <family val="2"/>
      </rPr>
      <t>7</t>
    </r>
    <r>
      <rPr>
        <i/>
        <sz val="8"/>
        <color rgb="FF000000"/>
        <rFont val="Arial"/>
        <family val="2"/>
      </rPr>
      <t>         Telas com espaços de 1 milímetro ou menos entre os fios.</t>
    </r>
  </si>
  <si>
    <t>Quando posicionadas sobre áreas de manipulação de alimentos, as lâmpadas são dotadas de sistema de segurança contra quedas acidentais?</t>
  </si>
  <si>
    <t>A iluminação é uniforme sem cantos escuros?</t>
  </si>
  <si>
    <t>É garantida a inexistência de ventiladores e/ou aparelhos de ar condicionado nas áreas de manipulação?</t>
  </si>
  <si>
    <t>BL 01-1 Localização da Unidade de Alimentação e Nutrição (UAN)</t>
  </si>
  <si>
    <t>BL 01-2 Piso da área de produção</t>
  </si>
  <si>
    <t>BL 01-3 Paredes e divisórias da área de produção</t>
  </si>
  <si>
    <t>BL 01-4 Forros e tetos da área de produção</t>
  </si>
  <si>
    <t>BL 01-5 Portas e janelas da área de produção</t>
  </si>
  <si>
    <t>BL 01-6 Iluminação da área de produção</t>
  </si>
  <si>
    <t>BL 01- 7 Ventilação da área de produção</t>
  </si>
  <si>
    <t>BL 01-8 Abastecimento de água</t>
  </si>
  <si>
    <t>BL 01-9 Sanitários e vestiários</t>
  </si>
  <si>
    <t>BL 01-10 Lavatórios exclusivos para higiene das mãos</t>
  </si>
  <si>
    <t>São conectados à rede de esgoto ou a fossa asséptica esvaziada periodicamente?</t>
  </si>
  <si>
    <t>Os banheiros são constituídos de vasos sanitários com tampa e descarga eficiente?</t>
  </si>
  <si>
    <t>São providos de água corrente?</t>
  </si>
  <si>
    <r>
      <t>São dotados de pia para lavagem de mãos, sabão e papel descartável para secagem e com lixeira para descarte de papel, em bom estado de conservação</t>
    </r>
    <r>
      <rPr>
        <vertAlign val="superscript"/>
        <sz val="8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?</t>
    </r>
  </si>
  <si>
    <t>Possuem sabão adequado: líquido e inodoro, anti-séptico, papel toalha não reciclado ou outro sistema adequado para secagem de mãos, lixeiras com tampa, ambas com acionamento NÃO manual, e torneira com desligamento automático ou acionamento NÃO manual?</t>
  </si>
  <si>
    <t>São dotados de água corrente?</t>
  </si>
  <si>
    <t>Nas pias destinadas para manipulação e/ou preparo de alimentos, é garantida a ausência de sabão e/ou anti-séptico para higiene das mãos?</t>
  </si>
  <si>
    <t>BL 01-11 Áreas de armazenamento em temperatura ambiente</t>
  </si>
  <si>
    <t>São dotadas de portas com fechamento automático (mola ou similar) e proteção contra roedores na abertura inferior?</t>
  </si>
  <si>
    <r>
      <t>Têm janelas e qualquer aberturas protegidas com telas milimétricas</t>
    </r>
    <r>
      <rPr>
        <vertAlign val="superscript"/>
        <sz val="8"/>
        <color rgb="FF000000"/>
        <rFont val="Arial"/>
        <family val="2"/>
      </rPr>
      <t>7</t>
    </r>
    <r>
      <rPr>
        <sz val="8"/>
        <color rgb="FF000000"/>
        <rFont val="Arial"/>
        <family val="2"/>
      </rPr>
      <t>?</t>
    </r>
  </si>
  <si>
    <r>
      <t>São dotadas de estrados fixos ou móveis que permitam fácil acesso para a higienização</t>
    </r>
    <r>
      <rPr>
        <vertAlign val="superscript"/>
        <sz val="8"/>
        <color rgb="FF000000"/>
        <rFont val="Arial"/>
        <family val="2"/>
      </rPr>
      <t>11</t>
    </r>
    <r>
      <rPr>
        <sz val="8"/>
        <color rgb="FF000000"/>
        <rFont val="Arial"/>
        <family val="2"/>
      </rPr>
      <t>?</t>
    </r>
  </si>
  <si>
    <t>Os alimentos estão dispostos em prateleiras/ extremidades de forma que permita a circulação de ar entre as pilhas?</t>
  </si>
  <si>
    <t>As prateleiras são laváveis e impermeáveis?</t>
  </si>
  <si>
    <t>BL 01-12 Área de consumação/refeitório/salão de refeições</t>
  </si>
  <si>
    <t>É dotada de forro, piso e paredes de material liso, lavável e impermeável?</t>
  </si>
  <si>
    <r>
      <t>Tem janelas e aberturas protegidas com telas milimétricas</t>
    </r>
    <r>
      <rPr>
        <vertAlign val="superscript"/>
        <sz val="8"/>
        <color rgb="FF000000"/>
        <rFont val="Arial"/>
        <family val="2"/>
      </rPr>
      <t>7</t>
    </r>
    <r>
      <rPr>
        <sz val="8"/>
        <color rgb="FF000000"/>
        <rFont val="Arial"/>
        <family val="2"/>
      </rPr>
      <t xml:space="preserve"> removíveis?</t>
    </r>
  </si>
  <si>
    <t>É ausente de ventiladores com fluxo de ar direto sobre plantas e/ou alimentos?</t>
  </si>
  <si>
    <t>As plantas, se existentes, são dispostas de forma a não contaminar os alimentos durante a distribuição? Quando adubadas, usa-se adubo inorgânico?</t>
  </si>
  <si>
    <t>BL 01-13 Área para depósito e higienização do material de limpeza</t>
  </si>
  <si>
    <t>Excluiva e isolada das áreas de manipulação de alimentos?</t>
  </si>
  <si>
    <t>Possui geladeiras ou câmaras em número suficiente e que mantenha os alimentos em temperatura segura?</t>
  </si>
  <si>
    <t>Possui freezers (congeladores) em número suficiente para manter a temperatura congelada?</t>
  </si>
  <si>
    <t>A escola possui termômetro aferido?</t>
  </si>
  <si>
    <t>Geladeira e/ou câmaras e/ou freezers apresentam-se em bom estado de funcionamento, higiene e manutenção constante?</t>
  </si>
  <si>
    <t>O balcão quente, para a distribuição, é regulado de forma a manter os alimentos a no mínimo 60 ºC?</t>
  </si>
  <si>
    <t>As câmaras e/ou refrigeradores são regulados de modo a manter os alimentos nas temperaturas:</t>
  </si>
  <si>
    <t>Até 4ºC para alimentos pré-preparados ou pós cocção por no máximo 3 (três) dias?</t>
  </si>
  <si>
    <t>Nos equipamentos de refrigeração e congelamento são ausentes o acúmulo de gelo e obstrução nos difusores de ar?</t>
  </si>
  <si>
    <t>Até -  4ºC para carnes, aves e pescados refrigeradas?</t>
  </si>
  <si>
    <t>O freezer é regulado, garantindo aos alimentos temperaturas entre -12ºC a -18ºC?</t>
  </si>
  <si>
    <t>BL 02 - 1 Áreas de armazenamento em temperatura controlada</t>
  </si>
  <si>
    <t>14 Brincos, pulseiras, alianças, relógios, colares, anel, piercings.</t>
  </si>
  <si>
    <r>
      <t>Todos os funcionários estão uniformizados</t>
    </r>
    <r>
      <rPr>
        <vertAlign val="superscript"/>
        <sz val="8"/>
        <color rgb="FF000000"/>
        <rFont val="Arial"/>
        <family val="2"/>
      </rPr>
      <t>12</t>
    </r>
    <r>
      <rPr>
        <sz val="8"/>
        <color rgb="FF000000"/>
        <rFont val="Arial"/>
        <family val="2"/>
      </rPr>
      <t>?</t>
    </r>
  </si>
  <si>
    <t>Exames médicos são renovados periodicamente ou pelo menos uma vez por ano?</t>
  </si>
  <si>
    <r>
      <t>Os manipuladores trabalham sem afecções clínicas</t>
    </r>
    <r>
      <rPr>
        <vertAlign val="superscript"/>
        <sz val="8"/>
        <color rgb="FF000000"/>
        <rFont val="Arial"/>
        <family val="2"/>
      </rPr>
      <t>13</t>
    </r>
    <r>
      <rPr>
        <sz val="8"/>
        <color rgb="FF000000"/>
        <rFont val="Arial"/>
        <family val="2"/>
      </rPr>
      <t>?</t>
    </r>
  </si>
  <si>
    <r>
      <t xml:space="preserve">Há ausência de adornos </t>
    </r>
    <r>
      <rPr>
        <vertAlign val="superscript"/>
        <sz val="8"/>
        <color rgb="FF000000"/>
        <rFont val="Arial"/>
        <family val="2"/>
      </rPr>
      <t>14</t>
    </r>
    <r>
      <rPr>
        <sz val="8"/>
        <color rgb="FF000000"/>
        <rFont val="Arial"/>
        <family val="2"/>
      </rPr>
      <t>?</t>
    </r>
  </si>
  <si>
    <t>Garante-se a ausência de barba?</t>
  </si>
  <si>
    <t>Os cabelos são totalmente protegidos?</t>
  </si>
  <si>
    <t>O candidato ao emprego só é admitido após a realização de exames médicos e laboratoriais?</t>
  </si>
  <si>
    <t>Todas as pessoas envolvidas no Serviço de Alimentação participaram de capacitação envolvendo Segurança de Alimentos?</t>
  </si>
  <si>
    <t>BL 04 - 1 Transporte de matéria-prima</t>
  </si>
  <si>
    <t>BL 05 - 1 Higiene das mãos</t>
  </si>
  <si>
    <t>BL 05 - 2 Recebimento de matéria-prima</t>
  </si>
  <si>
    <t>BL 05 - 6 Controles e Registros</t>
  </si>
  <si>
    <t>Os produtos reprovados são devolvidos no ato do recebimento ou segregados e identificados para providências posteriores?</t>
  </si>
  <si>
    <t>É verificado o prazo de validade nos rótulos dos alimentos no momento do recebimento?</t>
  </si>
  <si>
    <t>Os funcionários higienizam as mãos seguindo procedimento adequado e utilizando produtos recomendados para lavagem e desinfecção?</t>
  </si>
  <si>
    <t>BL 05 - 3 Armazenamento de matéria-prima (embalagens fechadas)</t>
  </si>
  <si>
    <t>Há inexistência de produtos com validade vencida?</t>
  </si>
  <si>
    <t>O empilhamento de sacarias é feito de forma alinhada, não prejudicando o produto, respeitando empilhamento máximo recomendado pelo fornecedor?</t>
  </si>
  <si>
    <t>A ausência de caixas de papelão em áreas de armazenamento sob ar frio é respeitada? (exceto quando a área é específica para este fim)</t>
  </si>
  <si>
    <t>A retirada de produtos do estoque obedece ao sistema PEPS (Primeiro que entra é o primeiro que sai) ou PVPS (Primeiro que vence é o primeiro que sai)?</t>
  </si>
  <si>
    <t>BL 05 - 4 Armazenamento Pós-manipulação</t>
  </si>
  <si>
    <t>Os diferentes gêneros alimentícios, quando são armazenados em um único equipamento de refrigeração, estão dispostos de forma adequada ou seja produtos prontos na parte superior, produtos pré-preparados e/ou semi- prontos na parte intermediaria e produtos crus na parte inferior. Nos compartimentos inferiores (tipo gaveta) apenas hortifruti.</t>
  </si>
  <si>
    <t>Os alimentos prontos são colocados nas prateleiras superiores?</t>
  </si>
  <si>
    <t>Os semi-prontos e/ou pré-preparados nas prateleiras do meio?</t>
  </si>
  <si>
    <t>E o restante dos alimentos, crus e outros, nas prateleiras inferiores?</t>
  </si>
  <si>
    <t>As portas dos equipamentos de refrigeração são mantidas fechadas?</t>
  </si>
  <si>
    <t>BL 05 - 5 Procedimentos de alimentos na preparação</t>
  </si>
  <si>
    <t>As verduras, os legumes e as frutas que serão ingeridos crus e que serão ingeridos com casca são desinfetados de forma adequada, isto é, imersos  em solução clorada (200 a 250 ppm) por 15 minutos, com enxágue posterior em água potável?</t>
  </si>
  <si>
    <t>As frutas manipuladas, verduras e os legumes não desinfetados são submetidos à cocção (70°C no seu interior) ou permanecem imersas em fervura por no mínimo 1 minuto?</t>
  </si>
  <si>
    <t>BL 05 - 7 Processo de descongelamento</t>
  </si>
  <si>
    <t>BL 05 - 8 Há registro:</t>
  </si>
  <si>
    <t>BL 05 - 9 Guarda de amostras</t>
  </si>
  <si>
    <t>BL 05 - 10 Processo de dessalgue</t>
  </si>
  <si>
    <t>BL 05 - 11 Procedimentos para cocção e reaquecimento</t>
  </si>
  <si>
    <t>BL 05 - 12 Procedimentos para distribuição</t>
  </si>
  <si>
    <t>BL 05 - 13 Procedimentos para Utilização de Sobras</t>
  </si>
  <si>
    <t>BL 05 - 14 Cuidados com ovos</t>
  </si>
  <si>
    <t>BL 05 - 15 Transporte de alimentos prontos</t>
  </si>
  <si>
    <t>O descongelamento é feito sob refrigeração a 5°C ou forno de convecção ou microondas?</t>
  </si>
  <si>
    <t>Existe Manual de Boas Praticas na escola, de acesso aos manipuladores de alimento?</t>
  </si>
  <si>
    <t>Do controle de temperatura ou características dos produtos no ato do recebimento?</t>
  </si>
  <si>
    <t>Do controle de temperatura ou características dos alimentos ou preparações durante a produção?</t>
  </si>
  <si>
    <t>Dos alimentos ou preparações durante a distribuição?</t>
  </si>
  <si>
    <t>Existe na escola documento que comprove a potabilidade da água?</t>
  </si>
  <si>
    <r>
      <t>O dessalgue é realizado sob condições seguras?</t>
    </r>
    <r>
      <rPr>
        <vertAlign val="superscript"/>
        <sz val="8"/>
        <color rgb="FF000000"/>
        <rFont val="Arial"/>
        <family val="2"/>
      </rPr>
      <t>15</t>
    </r>
  </si>
  <si>
    <t>Carnes, aves e peixes são cozidos completamente? (carnes e aves atingem a cor cinza?)</t>
  </si>
  <si>
    <t>Os alimentos na distribuição não ultrapassam duas horas a partir do término do preparo até distribuição?</t>
  </si>
  <si>
    <t>Os alimentos preparados obedecem a uma programação de quantidades com o objetivo de não ocorrerem sobras?</t>
  </si>
  <si>
    <t>É inexistente a utilização de ovos crus no preparo de pratos não submetidos à cocção ?</t>
  </si>
  <si>
    <t>Ovos cozidos, ou utilizados em preparações, passam por processo de cocção adequado? (clara e gema duras)</t>
  </si>
  <si>
    <t>Os veículos de transporte são revestidos de material impermeável, lavável e atóxico?</t>
  </si>
  <si>
    <t>Tais veículos apresentam-se em boas condições de higiene e conservação?</t>
  </si>
  <si>
    <t>As temperaturas dos alimentos transportados são monitoradas e registradas?</t>
  </si>
  <si>
    <t>É assegurada a inexistência de pessoas ou animais no mesmo compartimento onde são transportados os alimentos?</t>
  </si>
  <si>
    <t>Alimentos prontos refrigerados são transportados até 10°C?</t>
  </si>
  <si>
    <t>Alimentos prontos sob aquecimento são transportados a 60°C ou mais?</t>
  </si>
  <si>
    <t>As refeições prontas para o consumo imediato são adequadamente transportadas em recipientes hermeticamente fechados?</t>
  </si>
  <si>
    <t>O lixo é disposto adequadamente em recipientes constituídos de material de fácil limpeza, revestidos com sacos plásticos e tampados?</t>
  </si>
  <si>
    <t>A área de lixo externo é isolada ou tratada de forma a evitar contaminação?</t>
  </si>
  <si>
    <t>BL 06 - 1 Lixo/Esgotamento sanitário</t>
  </si>
  <si>
    <t>BL 06 - 2 Higiene das Instalações</t>
  </si>
  <si>
    <t>BL 06 - 3  Higiene de utensílios/equipamentos/outros materiais</t>
  </si>
  <si>
    <t>BL 06 - 4 Controle de Pragas e Vetores Urbanos</t>
  </si>
  <si>
    <t>É feito controle de pragas por empresa terceirizada?</t>
  </si>
  <si>
    <t>São ausentes as evidências de roedores, baratas e insetos entre as aplicações?</t>
  </si>
  <si>
    <t>Os produtos utilizados para limpeza e desinfecção são registrados no Ministério da Saúde?</t>
  </si>
  <si>
    <r>
      <t>A desinfecção química de utensílios e equipamentos é feita de forma adequada</t>
    </r>
    <r>
      <rPr>
        <vertAlign val="superscript"/>
        <sz val="8"/>
        <color rgb="FF000000"/>
        <rFont val="Arial"/>
        <family val="2"/>
      </rPr>
      <t>16</t>
    </r>
    <r>
      <rPr>
        <sz val="8"/>
        <color rgb="FF000000"/>
        <rFont val="Arial"/>
        <family val="2"/>
      </rPr>
      <t>?</t>
    </r>
  </si>
  <si>
    <t>São protegidos contra poeira, insetos e roedores? São guardados sob proteção?</t>
  </si>
  <si>
    <t>As bancadas e mesas de apoio são higienizadas após o retorno ao trabalho e/ou troca de turno?</t>
  </si>
  <si>
    <t>Os utensílios e equipamentos são secos naturalmente ou sem a utilização de panos?</t>
  </si>
  <si>
    <t>O lixo é retirado diariamente e sempre que necessário?</t>
  </si>
  <si>
    <r>
      <t>A higiene ambiental é mantida por meio de adequadas e aprovadas</t>
    </r>
    <r>
      <rPr>
        <vertAlign val="superscript"/>
        <sz val="8"/>
        <color rgb="FF000000"/>
        <rFont val="Arial"/>
        <family val="2"/>
      </rPr>
      <t>16</t>
    </r>
    <r>
      <rPr>
        <sz val="8"/>
        <color rgb="FF000000"/>
        <rFont val="Arial"/>
        <family val="2"/>
      </rPr>
      <t xml:space="preserve"> técnicas de limpeza, enxágue e desinfecção? É realizado por meio de água e sabão?</t>
    </r>
  </si>
  <si>
    <t>São utilizadas escovas e esponjas de material não abrasivo, as quais são constituídas de fibras que não se desprendem com o uso?</t>
  </si>
  <si>
    <t>Os produtos de limpeza e desinfecção utilizados são registrados no Ministério da Saúde?</t>
  </si>
  <si>
    <t>Os utensílios de limpeza (panos, rodos e etc.) que são usados nas áreas de manipulação e processamento são diferenciados dos panos de limpeza de sanitários?</t>
  </si>
  <si>
    <t>Nas áreas de manipulação e processamento, é inexistente a prática de varrer o piso a seco?</t>
  </si>
  <si>
    <t>Quando são utilizados rodos para secar superfícies que entram em contato com alimentos, estes são exclusivos, não destinados para outros fins?</t>
  </si>
  <si>
    <t>PRÓPRIA</t>
  </si>
  <si>
    <t>ALUGADA</t>
  </si>
  <si>
    <t>OUTROS</t>
  </si>
  <si>
    <t>T</t>
  </si>
  <si>
    <t>de 26% a 49%</t>
  </si>
  <si>
    <t>de 51% a 74%</t>
  </si>
  <si>
    <t>˃= 75%</t>
  </si>
  <si>
    <t>FUNCIONÁRIO 1</t>
  </si>
  <si>
    <t>F1</t>
  </si>
  <si>
    <t>F2</t>
  </si>
  <si>
    <t>SUP</t>
  </si>
  <si>
    <t>MD</t>
  </si>
  <si>
    <t>M</t>
  </si>
  <si>
    <t>F</t>
  </si>
  <si>
    <t>ESCOLARIDADE</t>
  </si>
  <si>
    <r>
      <rPr>
        <b/>
        <i/>
        <u/>
        <sz val="10"/>
        <color theme="0"/>
        <rFont val="Arial"/>
        <family val="2"/>
      </rPr>
      <t>Legenda:</t>
    </r>
    <r>
      <rPr>
        <i/>
        <sz val="10"/>
        <color theme="0"/>
        <rFont val="Arial"/>
        <family val="2"/>
      </rPr>
      <t xml:space="preserve"> M - masculino; F - feminino; F1 - ensino fundamental 1; F2 - ensino fundamental 2; MD - ensino médio; SUP - ensino superior</t>
    </r>
  </si>
  <si>
    <t>MORADIA</t>
  </si>
  <si>
    <t>18-59a</t>
  </si>
  <si>
    <t>&gt;=60a</t>
  </si>
  <si>
    <t>FUNCIONÁRIO 2</t>
  </si>
  <si>
    <t>FUNCIONÁRIO 3</t>
  </si>
  <si>
    <t>FUNCIONÁRIO 4</t>
  </si>
  <si>
    <t>FUNCIONÁRIO 5</t>
  </si>
  <si>
    <t>FUNCIONÁRIO 6</t>
  </si>
  <si>
    <t>FUNCIONÁRIO 7</t>
  </si>
  <si>
    <t>FUNCIONÁRIO 8</t>
  </si>
  <si>
    <t>FUNCIONÁRIO 9</t>
  </si>
  <si>
    <t>FUNCIONÁRIO 10</t>
  </si>
  <si>
    <t>IDADE*</t>
  </si>
  <si>
    <t>http://www.planalto.gov.br/ccivil_03/leis/l8069.htm</t>
  </si>
  <si>
    <t>http://bvsms.saude.gov.br/bvs/publicacoes/estatuto_idoso_2ed.pdf</t>
  </si>
  <si>
    <r>
      <t xml:space="preserve">           </t>
    </r>
    <r>
      <rPr>
        <b/>
        <sz val="9"/>
        <color theme="0"/>
        <rFont val="Arial"/>
        <family val="2"/>
      </rPr>
      <t>CLICK</t>
    </r>
    <r>
      <rPr>
        <b/>
        <sz val="9"/>
        <color theme="7"/>
        <rFont val="Arial"/>
        <family val="2"/>
      </rPr>
      <t xml:space="preserve"> nas Fontes Bibliográficas Utilizadas: </t>
    </r>
  </si>
  <si>
    <t>CONDIÇÕES DE TRABALHO</t>
  </si>
  <si>
    <t>EX</t>
  </si>
  <si>
    <t>B</t>
  </si>
  <si>
    <t>R</t>
  </si>
  <si>
    <t>MELHORIAS</t>
  </si>
  <si>
    <t>ES</t>
  </si>
  <si>
    <t>EQ</t>
  </si>
  <si>
    <t>RELAÇÕES HUMANAS</t>
  </si>
  <si>
    <t>IMPEDIMENTOS</t>
  </si>
  <si>
    <t>E.G.R</t>
  </si>
  <si>
    <t>COLETA SELETIVA</t>
  </si>
  <si>
    <t>ILUMINAÇÃO</t>
  </si>
  <si>
    <t>CONFORTO TÉRMICO</t>
  </si>
  <si>
    <t>OL</t>
  </si>
  <si>
    <t>RO</t>
  </si>
  <si>
    <t>RP</t>
  </si>
  <si>
    <t>LED</t>
  </si>
  <si>
    <t>RN</t>
  </si>
  <si>
    <t>VN</t>
  </si>
  <si>
    <t>VA</t>
  </si>
  <si>
    <t>CL</t>
  </si>
  <si>
    <t>ACESSIBILIDADE</t>
  </si>
  <si>
    <t>PL</t>
  </si>
  <si>
    <t>AMBIENTE "VERDE"</t>
  </si>
  <si>
    <t>ARV</t>
  </si>
  <si>
    <t>RPI</t>
  </si>
  <si>
    <t>CONFORTO ACÚSTICO</t>
  </si>
  <si>
    <t>PARTICIPAÇÃO NA EDUCAÇÃO AMBIENTAL, ECOLOGIA E SUSTENTABILIDADE</t>
  </si>
  <si>
    <t>PE</t>
  </si>
  <si>
    <t>PP</t>
  </si>
  <si>
    <t>MATERIAIS USADOS NA EDIFICAÇÃO</t>
  </si>
  <si>
    <t>BIA</t>
  </si>
  <si>
    <t>erros</t>
  </si>
  <si>
    <t>FIM DO BLOCO 1</t>
  </si>
  <si>
    <t>FIM DO BLOCO 2</t>
  </si>
  <si>
    <t>FIM DO BLOCO 3</t>
  </si>
  <si>
    <t>FIM DO BLOCO 4</t>
  </si>
  <si>
    <t>FIM DO BLOCO 6</t>
  </si>
  <si>
    <t>Situação de Risco Sanitário Muito Baixo</t>
  </si>
  <si>
    <t xml:space="preserve">Situação de Risco Sanitário Baixo </t>
  </si>
  <si>
    <t>Situação de Risco Sanitário Regular</t>
  </si>
  <si>
    <t>Situação de Risco Sanitário Alto</t>
  </si>
  <si>
    <t>Situação de Risco Sanitário Muito Alto</t>
  </si>
  <si>
    <t>de 91 a 100</t>
  </si>
  <si>
    <t>de 76 a 90</t>
  </si>
  <si>
    <t>de 51 a 75</t>
  </si>
  <si>
    <t>de 26 a 50</t>
  </si>
  <si>
    <t>de 0 a 25</t>
  </si>
  <si>
    <t>Erros na planilha</t>
  </si>
  <si>
    <t>PT/PB</t>
  </si>
  <si>
    <t>FIM DO BLOCO 5</t>
  </si>
  <si>
    <t>Frutas in natura</t>
  </si>
  <si>
    <t xml:space="preserve">Saladas </t>
  </si>
  <si>
    <t>Vegetais não amiláceos</t>
  </si>
  <si>
    <t>Alimentos Integrais</t>
  </si>
  <si>
    <t>Carnes e ovos</t>
  </si>
  <si>
    <t>Leguminosas</t>
  </si>
  <si>
    <t>Leite e derivados</t>
  </si>
  <si>
    <t>INCLUÍDOS: todos os vegetais não amiláceos</t>
  </si>
  <si>
    <t>-</t>
  </si>
  <si>
    <t>INCLUÍDOS: folhas, caules, flores (BRÓCOLIS, COUVE-FLOR, ALCACHOFRA), brotos (ACELGA, AGRIÃO, ALFACE, ALMEIRÃO, BROTO DE ALFAFA E DE FEIJÃO, CHICÓRIA, ESCAROLA, REPOLHO E RÚCULA), frutos, raízes e tubérculos não amiláceos (abóbora, abobrinha, berinjela, chuchu, cenoura, beterraba)</t>
  </si>
  <si>
    <t>EXCLUÍDOS: vegetais não amiláceos servidos como salada, tomate em extrato.</t>
  </si>
  <si>
    <t>EXCLUÍDOS: Geléia, doces, preparações com grande quantidade de açúcar, bolo.</t>
  </si>
  <si>
    <t>EXCLUÍDOS: todos os produtos da categoria embutidos e industrializados</t>
  </si>
  <si>
    <t>EXCLUÍDOS: bebidas lácteas em pó e manteiga</t>
  </si>
  <si>
    <t>INCLUÍDOS: Todas as frutas frescas e/ou secas (desidratadas), inteiras, fracionadas, com ou sem adição de outros ingredientes.</t>
  </si>
  <si>
    <t>INCLUÍDOS: todos os alimentos integrais sem refinamento.</t>
  </si>
  <si>
    <t>INCLUÍDOS: todas as carnes e ovos</t>
  </si>
  <si>
    <t>INCLUÍDOS: todas as leguminosas</t>
  </si>
  <si>
    <t>INCLUÍDOS: todos os tipos de leite, iogurtes, bebidas lácteas e queijos.</t>
  </si>
  <si>
    <t>IV</t>
  </si>
  <si>
    <t>VI</t>
  </si>
  <si>
    <t>VII</t>
  </si>
  <si>
    <t>VIII</t>
  </si>
  <si>
    <t>IX</t>
  </si>
  <si>
    <t>X</t>
  </si>
  <si>
    <t>ALIMENTOS CONTROLADOS (riscos à saúde)</t>
  </si>
  <si>
    <t>Preparações com açúcar adicionado e produtos com açúcar.</t>
  </si>
  <si>
    <t>Embutidos ou produtos cárneos industrializados</t>
  </si>
  <si>
    <t>Alimentos Industrializados semiprontos ou prontos</t>
  </si>
  <si>
    <t>Enlatados e conservas</t>
  </si>
  <si>
    <t>Alimentos concentrados, em pó ou desidratados</t>
  </si>
  <si>
    <t>Cereais matinais, bolos e biscoitos</t>
  </si>
  <si>
    <t>Alimentos flatulentos e de difícil digestão</t>
  </si>
  <si>
    <t xml:space="preserve">Bebidas com baixo teor nutricional </t>
  </si>
  <si>
    <t>Frituras, carnes godurosas e molhos gordurosos.</t>
  </si>
  <si>
    <t>EXCLUÍDOS:  carnes que não tenham passado pelo processo de industrialização com adição de ingredientes.</t>
  </si>
  <si>
    <t>EXCLUÍDOS: bolo caseiro, doce simples, sem recheio e/ou cobertura</t>
  </si>
  <si>
    <t>EXCLUÍDOS: suco natural sem e com adição de açúcar.</t>
  </si>
  <si>
    <t>EXCLUÍDOS: Cortes de carnes magras (peixes em geral), bovino (acém, coxão duro e mole, maminha, músculo, paleta e patinho), frango (inteiro, peito, coxa e sobrecoxa - todos sem pele), suíno (lombo).</t>
  </si>
  <si>
    <t>INCLUÍDOS: Pudim, gelatina, achocolatado, doce de frutas, geléias, cremes doces, doce de leite bolo, cereal matinal adoçado, refresco e suco adoçados.</t>
  </si>
  <si>
    <t>INCLUÍDOS: mortadela, salame, linguiça, peperoni, salsicha, produtos cárneos salgados, empanados, almôndega, hambúrguer, presunto, apresuntado, carne em conserva, pasta ou patê de carne.</t>
  </si>
  <si>
    <t>INCLUÍDOS: alimentos preparados, cozidos ou pré cozidos que não requerem adição de ingredientes para seu consumo. Exemplos: massas com recheio, almôndega pronta, batata pré-frita, molhos prontos para o consumo</t>
  </si>
  <si>
    <t>INCLUÍDOS: todos os alimentos enlatados ou em conserva.</t>
  </si>
  <si>
    <t>INCLUÍDOS: cereal matinal açucarado, bolo e biscoitos.</t>
  </si>
  <si>
    <t>INCLUÍDOS: Alimentos com cores similares, conferindo coloração monocromática à refeição.</t>
  </si>
  <si>
    <t>Preparação com cor similar na mesma refeição</t>
  </si>
  <si>
    <t>INCLUÍDOS: Carnes gordurosas são aquelas que a quantidade de gordura excede 50% do valor calórico total. Carne bovina (almôndega, charque, contrafilé com gordura, costela, cupim, fraldinha, língua, peito, picanha, hambúrguer), frango ( asa com pele, inteiro com pele, coração, coxa e sobrecoxa com pele). Suíno ( linguiça, pernil, bisteca, costela, salame, toucinho). Todos os alimentos fritos. Todas as preparações que possuam molho com adição de nata, creme de leite, manteiga, margarina, maionese, gordura vegetal hidrogenada, queijos e grande quantidade de óleo adicionado. Todos os produtos cárneos industrializados.</t>
  </si>
  <si>
    <r>
      <t xml:space="preserve">EXCLUÍDOS: cacau em pó e </t>
    </r>
    <r>
      <rPr>
        <b/>
        <i/>
        <u val="double"/>
        <sz val="8"/>
        <color rgb="FF002060"/>
        <rFont val="Arial"/>
        <family val="2"/>
      </rPr>
      <t>leite em pó*</t>
    </r>
  </si>
  <si>
    <r>
      <t xml:space="preserve">INCLUÍDOS:Alimentos de reconstituição, com ou sem adição de outros ingredientes, preparados desidratados para sopas,purês e conservas, mistura para o preparo de bolos, vitaminas, bebidas lácteas, achocolatado em pó, mingau, sucos concentrados de frutas, </t>
    </r>
    <r>
      <rPr>
        <b/>
        <i/>
        <u val="double"/>
        <sz val="8"/>
        <color rgb="FF002060"/>
        <rFont val="Arial"/>
        <family val="2"/>
      </rPr>
      <t>leite em pó*</t>
    </r>
  </si>
  <si>
    <t>https://nuppre.ufsc.br/files/2014/04/2012-Veiros-e-Martinelli.pdf</t>
  </si>
  <si>
    <t>INCLUÍDOS: refrescos em pó, concentrados para diluição e refrigerantes.</t>
  </si>
  <si>
    <t>4.1</t>
  </si>
  <si>
    <t>A</t>
  </si>
  <si>
    <t>C</t>
  </si>
  <si>
    <t>D</t>
  </si>
  <si>
    <t>E</t>
  </si>
  <si>
    <t>BL 2: EQUIPAM. PARA TEMPERATURA CONTROLADA</t>
  </si>
  <si>
    <t>BL 1: EDIFÍCIOS E INSTAL. DA ÁREA DE ALIMENTOS</t>
  </si>
  <si>
    <t>BL 3: MANIPULADORES</t>
  </si>
  <si>
    <t>BL 4: RECEBIMENTO</t>
  </si>
  <si>
    <t>BL 5: PROCESSOS E PRODUÇÕES</t>
  </si>
  <si>
    <t>BL 6: HIGIENIZAÇÃO AMBIENTAL</t>
  </si>
  <si>
    <t xml:space="preserve">  1. CARACTERIZAÇÃO</t>
  </si>
  <si>
    <t xml:space="preserve"> 2. SUSTENTABILIDADE</t>
  </si>
  <si>
    <t>3. ASPECTOS HIG.SANITÁRIOS</t>
  </si>
  <si>
    <t>4. ASPECTOS QUALITATIVOS</t>
  </si>
  <si>
    <t>RESPONDA      "1" PARA SIM</t>
  </si>
  <si>
    <t xml:space="preserve">           CLICK nas Fontes Bibliográficas Utilizadas: </t>
  </si>
  <si>
    <t>APROVEITAM. DA ÁGUA DA CHUVA</t>
  </si>
  <si>
    <t>ESCOLHA PROFISSONAL</t>
  </si>
  <si>
    <t>ADAPTAÇÃO DO CARDÁPIO (substituição de gêneros)</t>
  </si>
  <si>
    <t>Legenda: OL - óleo; RO - resíduos orgânicos; RP - reciclagem própria// PL - plantas; ARV - árvores</t>
  </si>
  <si>
    <t>MANIPULADORES DE ALIMENTOS:</t>
  </si>
  <si>
    <t xml:space="preserve">3. ASPECTOS HIG. SANITÁRIOS - CHECK LIST
</t>
  </si>
  <si>
    <t xml:space="preserve">4. ASPECTOS QUALITATIVOS - MÉTODO AQPC ESCOLA
</t>
  </si>
  <si>
    <t>OBSERVAÇÃO:</t>
  </si>
  <si>
    <t>Quantidade total:</t>
  </si>
  <si>
    <t>Participantes da pesquisa:</t>
  </si>
  <si>
    <t>Existe na escola documento que comprove o controle integrado de pragas e vetores</t>
  </si>
  <si>
    <t>ASPECTOS HIGIÊNICOS SANITÁRIOS</t>
  </si>
  <si>
    <t>GÊNERO</t>
  </si>
  <si>
    <t>Pães, bolo caseiro simples e vegetais amiláceos</t>
  </si>
  <si>
    <t>EXCLUÍDOS: bolo doce  com recheio e/ou cobertura, bolo industrializado, torta salgada com grande quantidade de gordura.</t>
  </si>
  <si>
    <t>INCLUÍDOS: pão, aipim, mandioca, inhame, batata, cará, torta salgada e bolo caseiro doce sem recheio ou cobertura.</t>
  </si>
  <si>
    <t>Cereais (arroz, angu ou polenta e macarrão)</t>
  </si>
  <si>
    <t>EXCLUÍDOS: cereal matinal açucarado.</t>
  </si>
  <si>
    <t>INCLUÍDOS: cereal matinal sem açúcar e/ou integral, macarrão, arroz, polenta ou angú (fubá)</t>
  </si>
  <si>
    <t>de 20% a 50%</t>
  </si>
  <si>
    <t xml:space="preserve">Período que se quer avaliar (dia, semana, mês, bimestre) </t>
  </si>
  <si>
    <t>Número de dias a ser investigado por período</t>
  </si>
  <si>
    <t>Frequencia por período</t>
  </si>
  <si>
    <r>
      <rPr>
        <b/>
        <sz val="11"/>
        <color theme="0"/>
        <rFont val="Arial"/>
        <family val="2"/>
      </rPr>
      <t>AVALIAÇÃO QUALITATIVA DAS PREPARAÇÕES DO CARDÁPIO</t>
    </r>
    <r>
      <rPr>
        <b/>
        <sz val="12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(pequenas e grandes refeições)</t>
    </r>
  </si>
  <si>
    <t>Alerta  Moderado</t>
  </si>
  <si>
    <t xml:space="preserve">Alerta Alto </t>
  </si>
  <si>
    <t xml:space="preserve">Alerta Altíssimo </t>
  </si>
  <si>
    <t xml:space="preserve">Satisfatório </t>
  </si>
  <si>
    <t>de 75% a 100%</t>
  </si>
  <si>
    <t>de 0% a 19%</t>
  </si>
  <si>
    <t>AVALIAÇÃO QUALITATIVA DAS PREPARAÇÕES DO CARDÁPIO - AQPC ESCOLA</t>
  </si>
  <si>
    <t>Idem ao "Resultado 1"</t>
  </si>
  <si>
    <t>MANIPULADORES (und)</t>
  </si>
  <si>
    <t>Total de profissionais na escola</t>
  </si>
  <si>
    <t>Participantes da pesquisa</t>
  </si>
  <si>
    <t>T. %</t>
  </si>
  <si>
    <t>PÉS</t>
  </si>
  <si>
    <t>DIR</t>
  </si>
  <si>
    <t>MAN</t>
  </si>
  <si>
    <t>UT</t>
  </si>
  <si>
    <t>CONV</t>
  </si>
  <si>
    <t>3. ASPECTOS HIG.SANIT.</t>
  </si>
  <si>
    <t>4. ASPECTOS QUALITAT.</t>
  </si>
  <si>
    <t>RESULTADO:</t>
  </si>
  <si>
    <t>CLASSIFICAÇÃO</t>
  </si>
  <si>
    <t>PONTUAÇÃO</t>
  </si>
  <si>
    <t>PONTUAÇÃO OBTIDA</t>
  </si>
  <si>
    <r>
      <t>Legenda</t>
    </r>
    <r>
      <rPr>
        <b/>
        <u/>
        <sz val="10"/>
        <color theme="0"/>
        <rFont val="Arial"/>
        <family val="2"/>
      </rPr>
      <t>:</t>
    </r>
    <r>
      <rPr>
        <sz val="10"/>
        <color theme="0"/>
        <rFont val="Arial"/>
        <family val="2"/>
      </rPr>
      <t xml:space="preserve"> RN - renovável// PL - portas largas; RPI - rampas com pouca inclinação; PT - pisos táteis; PB - placas em Braile// VN - ventilação Natural; VA - ventilação artificial; CL - climatização</t>
    </r>
  </si>
  <si>
    <t>ALIMENTOS RECOMENDADOS (benefícios à saúde)</t>
  </si>
  <si>
    <t>MINI HORTA</t>
  </si>
  <si>
    <t>AGRICULTURA FAMILIAR</t>
  </si>
  <si>
    <t>BRANCA</t>
  </si>
  <si>
    <t>OUTRO</t>
  </si>
  <si>
    <t>PES</t>
  </si>
  <si>
    <t>Legenda: PÉS - péssima// EX - excelente; B - boa; R - regular// Dir - direção; Man - manipulador</t>
  </si>
  <si>
    <t>FALTA DE OPÇÃO</t>
  </si>
  <si>
    <t>OPÇÃO</t>
  </si>
  <si>
    <t>AMBOS</t>
  </si>
  <si>
    <t>Legenda: ES - estrutural; EQ - equipamentos; R - relacionamentos// E.G.R - entrega regular de gêneros; UT - utensílios//  CONV - convencional; BIA - baixo impacto ambiental</t>
  </si>
  <si>
    <t>Legenda: PE - projeto da escola; PP - projeto do professor</t>
  </si>
  <si>
    <t>ALIMENTOS RECOMENDADOS                       (Resultado 1)</t>
  </si>
  <si>
    <t>ALIMENTOS CONTROLADOS        (Resultado 2)</t>
  </si>
  <si>
    <t xml:space="preserve">   ANÁLISE INTEGRADA</t>
  </si>
  <si>
    <t>SOCIODEMOGRÁFICA</t>
  </si>
  <si>
    <t>1. CARACTERIZAÇÃO SOCIODEMOGRÁFICA DOS MANIPULADORES DE ALIMENTOS</t>
  </si>
  <si>
    <t>CARACTERIZAÇÃO SOCIODEMOGRAFICA</t>
  </si>
  <si>
    <t>FATORES SOCIODEMOGRÁFICOS E ECONÔMICOS</t>
  </si>
  <si>
    <t>representando a classificação:</t>
  </si>
  <si>
    <t>INCLUÍDOS: abacate, acelga, aipo, alho, amendoim, batata-doce, brócolis, castanha, cebola, couve-flor, couve de bruxelas, couve, ervilha,  gengibre, goiaba, grão de bico, lentilha, maçã, melancia, melão, milho verde, mostarda, nabo, nozes, ovo cozido, pepino, pimentão, rabanete, repolho, uva.</t>
  </si>
  <si>
    <t>EXCLUÍDOS: todos os outros alimentos e feijão</t>
  </si>
  <si>
    <t>S</t>
  </si>
  <si>
    <t>SATISFATÓRIO</t>
  </si>
  <si>
    <t>INSATISFATÓRIO</t>
  </si>
  <si>
    <r>
      <t>O INDICADOR DE SUSTENTABILIDADE da escola foi</t>
    </r>
    <r>
      <rPr>
        <b/>
        <sz val="12"/>
        <color theme="0"/>
        <rFont val="Arial"/>
        <family val="2"/>
      </rPr>
      <t>:</t>
    </r>
  </si>
  <si>
    <t>INDICADOR DE SITUAÇÃO DE RISCO SANITÁRIO</t>
  </si>
  <si>
    <t>O INDICADOR DE SITUAÇÃO DE RISCO SANITÁRIO da escola foi:</t>
  </si>
  <si>
    <t>RESULTADO 1</t>
  </si>
  <si>
    <t>RESULTADO 2</t>
  </si>
  <si>
    <t>INDICADOR DE QUALIDADE DOS CARDÁPIOS EXECUTADOS</t>
  </si>
  <si>
    <t>CATEGORIA 4 - SUSTENTABILIDADE EDUCACIONAL</t>
  </si>
  <si>
    <t>CATEGORIA 3 - SUSTENTABILIDADE ESTRUTURA FÍSICA E LOGÍSTICA</t>
  </si>
  <si>
    <t>CATEGORIA 2 - SUSTENTABILIDADE SOCIAL - RELAÇÕES DE TRABALHO</t>
  </si>
  <si>
    <t>CATEGORIA 1 - SUSTENTABILIDADE AMBIENTAL</t>
  </si>
  <si>
    <t>CATEGORIA 1 - SUSTENTABILIDADE AMBIENTAL (continuação)</t>
  </si>
  <si>
    <t>2. SUSTENTABILIDADE - QUESTIONÁRIO DE INDICADOR DE SUSTENTABILIDADE NA ALIMENTAÇÃO ESCOLAR (QISAE)</t>
  </si>
  <si>
    <t>INDICADOR DE SUSTENTABILIDADE (QISAE)</t>
  </si>
  <si>
    <t>CLASSIFICAÇÃO MÉDIA (QISAE)</t>
  </si>
  <si>
    <t>QISAE</t>
  </si>
  <si>
    <t xml:space="preserve">           A ANÁLISE INTEGRADA proposta pela ferramenta M.A.E.,  tem por finalidade analisar as áreas relacionadas a SAN, possibilitando identificar as relações entre os pilares da ferramenta, evidenciando assim as potencialidades e vulnerabilidades identificadas nessa amostra estudada.  </t>
  </si>
  <si>
    <t>O INDICADOR DE QUALIDADE DOS CARDÁPIOS EXECUTADOS para ALIMENTOS RECOMENDADOS (Resultado 1) apresentado pela escola foi:</t>
  </si>
  <si>
    <t>O INDICADOR DE QUALIDADE DOS CARDÁPIOS EXECUTADOS para ALIMENTOS CONTROLADOS (Resultados 2) apresentado pela escola foi:</t>
  </si>
  <si>
    <t>REGULAR</t>
  </si>
  <si>
    <t>0 - 7</t>
  </si>
  <si>
    <t>8  11</t>
  </si>
  <si>
    <t>&gt;12</t>
  </si>
  <si>
    <t>de 1% a 25%</t>
  </si>
  <si>
    <t>de 25% a 49%</t>
  </si>
  <si>
    <t>ESCOLA MODELO</t>
  </si>
  <si>
    <r>
      <t xml:space="preserve">por SUETH </t>
    </r>
    <r>
      <rPr>
        <b/>
        <i/>
        <sz val="11"/>
        <color theme="0"/>
        <rFont val="Arial"/>
        <family val="2"/>
      </rPr>
      <t>et al.</t>
    </r>
    <r>
      <rPr>
        <b/>
        <sz val="11"/>
        <color theme="0"/>
        <rFont val="Arial"/>
        <family val="2"/>
      </rPr>
      <t>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</si>
</sst>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5" x14ac:knownFonts="1">
    <font>
      <sz val="11"/>
      <color rgb="FF000000"/>
      <name val="Calibri"/>
    </font>
    <font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20"/>
      <color theme="0"/>
      <name val="Calibri"/>
      <family val="2"/>
    </font>
    <font>
      <b/>
      <sz val="9"/>
      <color theme="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</font>
    <font>
      <b/>
      <i/>
      <u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4"/>
      <color theme="0"/>
      <name val="Calibri"/>
      <family val="2"/>
    </font>
    <font>
      <b/>
      <u/>
      <sz val="12"/>
      <color theme="0"/>
      <name val="Calibri"/>
      <family val="2"/>
    </font>
    <font>
      <sz val="11"/>
      <color theme="9" tint="-0.499984740745262"/>
      <name val="Calibri"/>
      <family val="2"/>
    </font>
    <font>
      <b/>
      <sz val="12"/>
      <color theme="0"/>
      <name val="Calibri"/>
      <family val="2"/>
    </font>
    <font>
      <sz val="14"/>
      <color theme="0"/>
      <name val="Calibri"/>
      <family val="2"/>
    </font>
    <font>
      <sz val="12"/>
      <color rgb="FF000000"/>
      <name val="Calibri"/>
      <family val="2"/>
    </font>
    <font>
      <sz val="10"/>
      <color rgb="FF002060"/>
      <name val="Arial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i/>
      <sz val="5"/>
      <color rgb="FF000000"/>
      <name val="Arial"/>
      <family val="2"/>
    </font>
    <font>
      <i/>
      <sz val="11"/>
      <name val="Calibri"/>
      <family val="2"/>
    </font>
    <font>
      <b/>
      <u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rgb="FF000000"/>
      <name val="Calibri"/>
      <family val="2"/>
    </font>
    <font>
      <sz val="8"/>
      <color rgb="FF002060"/>
      <name val="Arial"/>
      <family val="2"/>
    </font>
    <font>
      <sz val="9"/>
      <color indexed="81"/>
      <name val="Tahoma"/>
      <family val="2"/>
    </font>
    <font>
      <sz val="9"/>
      <color rgb="FF002060"/>
      <name val="Arial"/>
      <family val="2"/>
    </font>
    <font>
      <sz val="8"/>
      <name val="Calibri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i/>
      <sz val="10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theme="7"/>
      <name val="Arial"/>
      <family val="2"/>
    </font>
    <font>
      <i/>
      <sz val="10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sz val="8"/>
      <color theme="0"/>
      <name val="Times New Roman"/>
      <family val="1"/>
    </font>
    <font>
      <sz val="9"/>
      <color theme="0"/>
      <name val="Arial"/>
      <family val="2"/>
    </font>
    <font>
      <b/>
      <i/>
      <u val="double"/>
      <sz val="8"/>
      <color rgb="FF002060"/>
      <name val="Arial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name val="Arial"/>
      <family val="2"/>
    </font>
    <font>
      <u/>
      <sz val="12"/>
      <color theme="0"/>
      <name val="Arial"/>
      <family val="2"/>
    </font>
    <font>
      <b/>
      <u/>
      <sz val="10"/>
      <color theme="0"/>
      <name val="Arial"/>
      <family val="2"/>
    </font>
    <font>
      <b/>
      <sz val="18"/>
      <color theme="0"/>
      <name val="Calibri"/>
      <family val="2"/>
    </font>
    <font>
      <b/>
      <sz val="18"/>
      <color theme="0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7.5"/>
      <name val="Arial"/>
      <family val="2"/>
    </font>
    <font>
      <b/>
      <i/>
      <sz val="11"/>
      <color theme="0"/>
      <name val="Calibri"/>
      <family val="2"/>
    </font>
    <font>
      <b/>
      <sz val="10.5"/>
      <name val="Arial"/>
      <family val="2"/>
    </font>
    <font>
      <b/>
      <u/>
      <sz val="11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sz val="13"/>
      <color rgb="FF000000"/>
      <name val="Calibri"/>
      <family val="2"/>
    </font>
    <font>
      <sz val="12"/>
      <name val="Arial"/>
      <family val="2"/>
    </font>
    <font>
      <b/>
      <u/>
      <sz val="12"/>
      <color theme="0"/>
      <name val="Arial"/>
      <family val="2"/>
    </font>
    <font>
      <sz val="12"/>
      <color rgb="FFFF0000"/>
      <name val="Arial"/>
      <family val="2"/>
    </font>
    <font>
      <b/>
      <i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163E"/>
        <bgColor indexed="64"/>
      </patternFill>
    </fill>
    <fill>
      <patternFill patternType="solid">
        <fgColor rgb="FF00B0F0"/>
        <bgColor indexed="64"/>
      </patternFill>
    </fill>
  </fills>
  <borders count="1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18">
    <xf numFmtId="0" fontId="0" fillId="0" borderId="0" xfId="0" applyFont="1" applyAlignment="1"/>
    <xf numFmtId="0" fontId="0" fillId="0" borderId="0" xfId="0" applyFont="1" applyFill="1" applyAlignment="1"/>
    <xf numFmtId="0" fontId="14" fillId="5" borderId="0" xfId="0" applyFont="1" applyFill="1" applyAlignment="1">
      <alignment horizontal="center" vertical="center"/>
    </xf>
    <xf numFmtId="0" fontId="0" fillId="5" borderId="0" xfId="0" applyFont="1" applyFill="1" applyAlignment="1"/>
    <xf numFmtId="0" fontId="9" fillId="5" borderId="0" xfId="0" applyFont="1" applyFill="1" applyAlignment="1"/>
    <xf numFmtId="0" fontId="9" fillId="0" borderId="0" xfId="0" applyFont="1" applyFill="1" applyAlignment="1"/>
    <xf numFmtId="0" fontId="9" fillId="2" borderId="0" xfId="0" applyFont="1" applyFill="1" applyAlignment="1"/>
    <xf numFmtId="0" fontId="36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1" fillId="0" borderId="0" xfId="0" applyFont="1" applyFill="1"/>
    <xf numFmtId="0" fontId="10" fillId="5" borderId="0" xfId="0" applyFont="1" applyFill="1" applyAlignment="1">
      <alignment horizontal="center"/>
    </xf>
    <xf numFmtId="0" fontId="9" fillId="5" borderId="3" xfId="0" applyFont="1" applyFill="1" applyBorder="1" applyAlignment="1"/>
    <xf numFmtId="0" fontId="39" fillId="5" borderId="0" xfId="0" applyFont="1" applyFill="1" applyAlignment="1"/>
    <xf numFmtId="0" fontId="35" fillId="5" borderId="0" xfId="1" applyFont="1" applyFill="1" applyAlignment="1">
      <alignment horizontal="center"/>
    </xf>
    <xf numFmtId="0" fontId="39" fillId="5" borderId="0" xfId="0" applyFont="1" applyFill="1" applyAlignment="1">
      <alignment horizontal="center"/>
    </xf>
    <xf numFmtId="0" fontId="17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/>
    <xf numFmtId="0" fontId="26" fillId="5" borderId="0" xfId="0" applyFont="1" applyFill="1" applyAlignment="1"/>
    <xf numFmtId="0" fontId="28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24" fillId="0" borderId="0" xfId="0" applyFont="1" applyFill="1" applyAlignment="1"/>
    <xf numFmtId="0" fontId="4" fillId="0" borderId="0" xfId="0" applyFont="1" applyFill="1" applyAlignment="1">
      <alignment horizontal="center"/>
    </xf>
    <xf numFmtId="0" fontId="24" fillId="5" borderId="0" xfId="0" applyFont="1" applyFill="1" applyAlignment="1"/>
    <xf numFmtId="0" fontId="41" fillId="5" borderId="0" xfId="0" applyFont="1" applyFill="1" applyAlignment="1">
      <alignment vertical="top"/>
    </xf>
    <xf numFmtId="0" fontId="12" fillId="5" borderId="0" xfId="0" applyFont="1" applyFill="1" applyAlignment="1">
      <alignment vertical="top"/>
    </xf>
    <xf numFmtId="0" fontId="42" fillId="5" borderId="0" xfId="0" applyFont="1" applyFill="1" applyAlignment="1">
      <alignment vertical="top"/>
    </xf>
    <xf numFmtId="0" fontId="42" fillId="5" borderId="0" xfId="0" applyFont="1" applyFill="1" applyAlignment="1">
      <alignment horizontal="center" vertical="top"/>
    </xf>
    <xf numFmtId="0" fontId="16" fillId="5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41" fillId="0" borderId="0" xfId="0" applyFont="1" applyFill="1" applyAlignment="1">
      <alignment vertical="top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7" fillId="5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51" fillId="0" borderId="0" xfId="0" applyFont="1" applyFill="1" applyAlignment="1"/>
    <xf numFmtId="0" fontId="36" fillId="5" borderId="3" xfId="0" applyFont="1" applyFill="1" applyBorder="1" applyAlignment="1"/>
    <xf numFmtId="0" fontId="9" fillId="5" borderId="3" xfId="0" applyFont="1" applyFill="1" applyBorder="1" applyAlignment="1">
      <alignment horizontal="center"/>
    </xf>
    <xf numFmtId="0" fontId="4" fillId="5" borderId="0" xfId="0" applyFont="1" applyFill="1" applyAlignment="1"/>
    <xf numFmtId="0" fontId="4" fillId="0" borderId="0" xfId="0" applyFont="1" applyFill="1" applyAlignment="1"/>
    <xf numFmtId="0" fontId="0" fillId="5" borderId="0" xfId="0" applyFont="1" applyFill="1" applyAlignment="1"/>
    <xf numFmtId="0" fontId="14" fillId="8" borderId="8" xfId="1" applyFont="1" applyFill="1" applyBorder="1" applyAlignment="1" applyProtection="1">
      <alignment horizontal="center"/>
      <protection locked="0"/>
    </xf>
    <xf numFmtId="0" fontId="34" fillId="4" borderId="10" xfId="1" applyFont="1" applyFill="1" applyBorder="1" applyAlignment="1" applyProtection="1">
      <alignment horizontal="right"/>
      <protection locked="0"/>
    </xf>
    <xf numFmtId="0" fontId="5" fillId="0" borderId="0" xfId="0" applyFont="1" applyFill="1" applyAlignment="1"/>
    <xf numFmtId="0" fontId="19" fillId="0" borderId="0" xfId="0" applyFont="1" applyFill="1" applyAlignment="1"/>
    <xf numFmtId="0" fontId="50" fillId="3" borderId="4" xfId="0" applyFont="1" applyFill="1" applyBorder="1" applyAlignment="1" applyProtection="1">
      <alignment horizontal="center"/>
      <protection locked="0"/>
    </xf>
    <xf numFmtId="0" fontId="52" fillId="7" borderId="20" xfId="0" applyFont="1" applyFill="1" applyBorder="1" applyAlignment="1">
      <alignment horizontal="center"/>
    </xf>
    <xf numFmtId="0" fontId="52" fillId="7" borderId="34" xfId="0" applyFont="1" applyFill="1" applyBorder="1" applyAlignment="1">
      <alignment horizontal="center"/>
    </xf>
    <xf numFmtId="0" fontId="0" fillId="5" borderId="3" xfId="0" applyFont="1" applyFill="1" applyBorder="1" applyAlignment="1"/>
    <xf numFmtId="0" fontId="54" fillId="11" borderId="4" xfId="0" applyFont="1" applyFill="1" applyBorder="1" applyAlignment="1" applyProtection="1">
      <alignment horizontal="center" wrapText="1"/>
      <protection locked="0"/>
    </xf>
    <xf numFmtId="0" fontId="54" fillId="11" borderId="36" xfId="0" applyFont="1" applyFill="1" applyBorder="1" applyAlignment="1" applyProtection="1">
      <alignment horizontal="center" wrapText="1"/>
      <protection locked="0"/>
    </xf>
    <xf numFmtId="0" fontId="54" fillId="11" borderId="45" xfId="0" applyFont="1" applyFill="1" applyBorder="1" applyAlignment="1">
      <alignment horizontal="center"/>
    </xf>
    <xf numFmtId="0" fontId="33" fillId="7" borderId="20" xfId="0" applyFont="1" applyFill="1" applyBorder="1" applyAlignment="1">
      <alignment horizontal="center" wrapText="1"/>
    </xf>
    <xf numFmtId="0" fontId="52" fillId="7" borderId="21" xfId="0" applyFont="1" applyFill="1" applyBorder="1" applyAlignment="1">
      <alignment horizontal="center"/>
    </xf>
    <xf numFmtId="0" fontId="54" fillId="11" borderId="19" xfId="0" applyFont="1" applyFill="1" applyBorder="1" applyAlignment="1" applyProtection="1">
      <alignment horizontal="center" wrapText="1"/>
      <protection locked="0"/>
    </xf>
    <xf numFmtId="0" fontId="33" fillId="7" borderId="34" xfId="0" applyFont="1" applyFill="1" applyBorder="1" applyAlignment="1">
      <alignment horizontal="center" vertical="center"/>
    </xf>
    <xf numFmtId="0" fontId="33" fillId="7" borderId="20" xfId="0" applyFont="1" applyFill="1" applyBorder="1" applyAlignment="1">
      <alignment horizontal="center" vertical="center"/>
    </xf>
    <xf numFmtId="0" fontId="54" fillId="11" borderId="46" xfId="0" applyFont="1" applyFill="1" applyBorder="1" applyAlignment="1" applyProtection="1">
      <alignment horizontal="center" wrapText="1"/>
      <protection locked="0"/>
    </xf>
    <xf numFmtId="0" fontId="54" fillId="11" borderId="25" xfId="0" applyFont="1" applyFill="1" applyBorder="1" applyAlignment="1" applyProtection="1">
      <alignment horizontal="center" wrapText="1"/>
      <protection locked="0"/>
    </xf>
    <xf numFmtId="0" fontId="54" fillId="11" borderId="47" xfId="0" applyFont="1" applyFill="1" applyBorder="1" applyAlignment="1" applyProtection="1">
      <alignment horizontal="center" wrapText="1"/>
      <protection locked="0"/>
    </xf>
    <xf numFmtId="0" fontId="0" fillId="5" borderId="0" xfId="0" applyFont="1" applyFill="1" applyAlignment="1"/>
    <xf numFmtId="0" fontId="54" fillId="6" borderId="24" xfId="0" applyFont="1" applyFill="1" applyBorder="1" applyAlignment="1" applyProtection="1">
      <alignment horizontal="center" wrapText="1"/>
      <protection locked="0"/>
    </xf>
    <xf numFmtId="0" fontId="54" fillId="6" borderId="19" xfId="0" applyFont="1" applyFill="1" applyBorder="1" applyAlignment="1" applyProtection="1">
      <alignment horizontal="center" wrapText="1"/>
      <protection locked="0"/>
    </xf>
    <xf numFmtId="0" fontId="54" fillId="6" borderId="4" xfId="0" applyFont="1" applyFill="1" applyBorder="1" applyAlignment="1" applyProtection="1">
      <alignment horizontal="center" wrapText="1"/>
      <protection locked="0"/>
    </xf>
    <xf numFmtId="0" fontId="54" fillId="6" borderId="36" xfId="0" applyFont="1" applyFill="1" applyBorder="1" applyAlignment="1" applyProtection="1">
      <alignment horizontal="center" wrapText="1"/>
      <protection locked="0"/>
    </xf>
    <xf numFmtId="0" fontId="54" fillId="6" borderId="25" xfId="0" applyFont="1" applyFill="1" applyBorder="1" applyAlignment="1" applyProtection="1">
      <alignment horizontal="center" wrapText="1"/>
      <protection locked="0"/>
    </xf>
    <xf numFmtId="0" fontId="59" fillId="6" borderId="51" xfId="0" applyFont="1" applyFill="1" applyBorder="1" applyAlignment="1" applyProtection="1">
      <alignment horizontal="center" vertical="center" wrapText="1"/>
      <protection locked="0"/>
    </xf>
    <xf numFmtId="0" fontId="54" fillId="11" borderId="44" xfId="0" applyFont="1" applyFill="1" applyBorder="1" applyAlignment="1">
      <alignment horizontal="center"/>
    </xf>
    <xf numFmtId="0" fontId="54" fillId="11" borderId="57" xfId="0" applyFont="1" applyFill="1" applyBorder="1" applyAlignment="1" applyProtection="1">
      <alignment horizontal="center" wrapText="1"/>
      <protection locked="0"/>
    </xf>
    <xf numFmtId="0" fontId="54" fillId="7" borderId="57" xfId="0" applyFont="1" applyFill="1" applyBorder="1" applyAlignment="1" applyProtection="1">
      <alignment horizontal="center" wrapText="1"/>
      <protection locked="0"/>
    </xf>
    <xf numFmtId="0" fontId="54" fillId="6" borderId="29" xfId="0" applyFont="1" applyFill="1" applyBorder="1" applyAlignment="1" applyProtection="1">
      <alignment horizontal="center" wrapText="1"/>
      <protection locked="0"/>
    </xf>
    <xf numFmtId="0" fontId="54" fillId="6" borderId="27" xfId="0" applyFont="1" applyFill="1" applyBorder="1" applyAlignment="1" applyProtection="1">
      <alignment horizontal="center" wrapText="1"/>
      <protection locked="0"/>
    </xf>
    <xf numFmtId="0" fontId="54" fillId="11" borderId="58" xfId="0" applyFont="1" applyFill="1" applyBorder="1" applyAlignment="1" applyProtection="1">
      <alignment horizontal="center" wrapText="1"/>
      <protection locked="0"/>
    </xf>
    <xf numFmtId="0" fontId="54" fillId="6" borderId="31" xfId="0" applyFont="1" applyFill="1" applyBorder="1" applyAlignment="1" applyProtection="1">
      <alignment horizontal="center" wrapText="1"/>
      <protection locked="0"/>
    </xf>
    <xf numFmtId="0" fontId="54" fillId="6" borderId="50" xfId="0" applyFont="1" applyFill="1" applyBorder="1" applyAlignment="1" applyProtection="1">
      <alignment horizontal="center" wrapText="1"/>
      <protection locked="0"/>
    </xf>
    <xf numFmtId="0" fontId="54" fillId="6" borderId="30" xfId="0" applyFont="1" applyFill="1" applyBorder="1" applyAlignment="1" applyProtection="1">
      <alignment horizontal="center" wrapText="1"/>
      <protection locked="0"/>
    </xf>
    <xf numFmtId="0" fontId="54" fillId="6" borderId="28" xfId="0" applyFont="1" applyFill="1" applyBorder="1" applyAlignment="1" applyProtection="1">
      <alignment horizontal="center" wrapText="1"/>
      <protection locked="0"/>
    </xf>
    <xf numFmtId="0" fontId="54" fillId="11" borderId="59" xfId="0" applyFont="1" applyFill="1" applyBorder="1" applyAlignment="1" applyProtection="1">
      <alignment horizontal="center" wrapText="1"/>
      <protection locked="0"/>
    </xf>
    <xf numFmtId="0" fontId="54" fillId="11" borderId="61" xfId="0" applyFont="1" applyFill="1" applyBorder="1" applyAlignment="1" applyProtection="1">
      <alignment horizontal="center" wrapText="1"/>
      <protection locked="0"/>
    </xf>
    <xf numFmtId="0" fontId="54" fillId="7" borderId="59" xfId="0" applyFont="1" applyFill="1" applyBorder="1" applyAlignment="1" applyProtection="1">
      <alignment horizontal="center" wrapText="1"/>
      <protection locked="0"/>
    </xf>
    <xf numFmtId="0" fontId="33" fillId="7" borderId="63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8" fillId="10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32" fillId="7" borderId="19" xfId="0" applyFont="1" applyFill="1" applyBorder="1" applyAlignment="1">
      <alignment vertical="center" wrapText="1"/>
    </xf>
    <xf numFmtId="0" fontId="18" fillId="13" borderId="36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left" vertical="center" wrapText="1"/>
    </xf>
    <xf numFmtId="0" fontId="19" fillId="13" borderId="36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right" vertical="center" wrapText="1"/>
    </xf>
    <xf numFmtId="0" fontId="18" fillId="10" borderId="19" xfId="0" applyFont="1" applyFill="1" applyBorder="1" applyAlignment="1">
      <alignment horizontal="center" vertical="center" wrapText="1"/>
    </xf>
    <xf numFmtId="2" fontId="18" fillId="10" borderId="19" xfId="0" applyNumberFormat="1" applyFont="1" applyFill="1" applyBorder="1" applyAlignment="1">
      <alignment horizontal="center"/>
    </xf>
    <xf numFmtId="0" fontId="28" fillId="5" borderId="19" xfId="0" applyFont="1" applyFill="1" applyBorder="1" applyAlignment="1">
      <alignment horizontal="left"/>
    </xf>
    <xf numFmtId="0" fontId="5" fillId="5" borderId="36" xfId="0" applyFont="1" applyFill="1" applyBorder="1" applyAlignment="1">
      <alignment horizontal="center" vertical="center" wrapText="1"/>
    </xf>
    <xf numFmtId="0" fontId="31" fillId="13" borderId="19" xfId="0" applyFont="1" applyFill="1" applyBorder="1" applyAlignment="1">
      <alignment horizontal="right"/>
    </xf>
    <xf numFmtId="0" fontId="24" fillId="13" borderId="36" xfId="0" applyFont="1" applyFill="1" applyBorder="1" applyAlignment="1"/>
    <xf numFmtId="2" fontId="32" fillId="18" borderId="21" xfId="0" applyNumberFormat="1" applyFont="1" applyFill="1" applyBorder="1" applyAlignment="1"/>
    <xf numFmtId="2" fontId="62" fillId="18" borderId="21" xfId="0" applyNumberFormat="1" applyFont="1" applyFill="1" applyBorder="1" applyAlignment="1"/>
    <xf numFmtId="2" fontId="62" fillId="18" borderId="34" xfId="0" applyNumberFormat="1" applyFont="1" applyFill="1" applyBorder="1" applyAlignment="1"/>
    <xf numFmtId="0" fontId="20" fillId="5" borderId="4" xfId="0" applyFont="1" applyFill="1" applyBorder="1" applyAlignment="1">
      <alignment horizontal="center"/>
    </xf>
    <xf numFmtId="0" fontId="19" fillId="10" borderId="36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left"/>
    </xf>
    <xf numFmtId="0" fontId="20" fillId="5" borderId="36" xfId="0" applyFont="1" applyFill="1" applyBorder="1" applyAlignment="1">
      <alignment horizontal="center"/>
    </xf>
    <xf numFmtId="0" fontId="21" fillId="13" borderId="19" xfId="0" applyFont="1" applyFill="1" applyBorder="1" applyAlignment="1">
      <alignment horizontal="right"/>
    </xf>
    <xf numFmtId="0" fontId="19" fillId="14" borderId="4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2" fontId="18" fillId="14" borderId="19" xfId="0" applyNumberFormat="1" applyFont="1" applyFill="1" applyBorder="1" applyAlignment="1">
      <alignment horizontal="center"/>
    </xf>
    <xf numFmtId="0" fontId="19" fillId="14" borderId="36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/>
    <xf numFmtId="0" fontId="32" fillId="7" borderId="19" xfId="0" applyFont="1" applyFill="1" applyBorder="1" applyAlignment="1">
      <alignment horizontal="left" vertical="center" wrapText="1"/>
    </xf>
    <xf numFmtId="2" fontId="32" fillId="18" borderId="55" xfId="0" applyNumberFormat="1" applyFont="1" applyFill="1" applyBorder="1" applyAlignment="1"/>
    <xf numFmtId="2" fontId="62" fillId="18" borderId="56" xfId="0" applyNumberFormat="1" applyFont="1" applyFill="1" applyBorder="1" applyAlignment="1"/>
    <xf numFmtId="0" fontId="44" fillId="11" borderId="36" xfId="0" applyFont="1" applyFill="1" applyBorder="1" applyAlignment="1"/>
    <xf numFmtId="0" fontId="31" fillId="13" borderId="20" xfId="0" applyFont="1" applyFill="1" applyBorder="1" applyAlignment="1">
      <alignment horizontal="right"/>
    </xf>
    <xf numFmtId="0" fontId="18" fillId="10" borderId="36" xfId="0" applyFont="1" applyFill="1" applyBorder="1" applyAlignment="1">
      <alignment horizontal="center" vertical="center" wrapText="1"/>
    </xf>
    <xf numFmtId="0" fontId="26" fillId="5" borderId="0" xfId="0" applyFont="1" applyFill="1" applyProtection="1"/>
    <xf numFmtId="0" fontId="0" fillId="5" borderId="0" xfId="0" applyFont="1" applyFill="1" applyAlignment="1" applyProtection="1"/>
    <xf numFmtId="0" fontId="18" fillId="13" borderId="10" xfId="0" applyFont="1" applyFill="1" applyBorder="1" applyAlignment="1" applyProtection="1">
      <alignment horizontal="center" vertical="center" wrapText="1"/>
    </xf>
    <xf numFmtId="0" fontId="54" fillId="11" borderId="23" xfId="0" applyFont="1" applyFill="1" applyBorder="1" applyAlignment="1" applyProtection="1">
      <alignment horizontal="center"/>
      <protection locked="0"/>
    </xf>
    <xf numFmtId="0" fontId="54" fillId="11" borderId="40" xfId="0" applyFont="1" applyFill="1" applyBorder="1" applyAlignment="1" applyProtection="1">
      <alignment horizontal="center"/>
      <protection locked="0"/>
    </xf>
    <xf numFmtId="0" fontId="54" fillId="11" borderId="19" xfId="0" applyFont="1" applyFill="1" applyBorder="1" applyAlignment="1" applyProtection="1">
      <alignment horizontal="center"/>
      <protection locked="0"/>
    </xf>
    <xf numFmtId="0" fontId="54" fillId="11" borderId="36" xfId="0" applyFont="1" applyFill="1" applyBorder="1" applyAlignment="1" applyProtection="1">
      <alignment horizontal="center"/>
      <protection locked="0"/>
    </xf>
    <xf numFmtId="0" fontId="54" fillId="11" borderId="46" xfId="0" applyFont="1" applyFill="1" applyBorder="1" applyAlignment="1" applyProtection="1">
      <alignment horizontal="center"/>
      <protection locked="0"/>
    </xf>
    <xf numFmtId="0" fontId="54" fillId="11" borderId="47" xfId="0" applyFont="1" applyFill="1" applyBorder="1" applyAlignment="1" applyProtection="1">
      <alignment horizontal="center"/>
      <protection locked="0"/>
    </xf>
    <xf numFmtId="0" fontId="54" fillId="11" borderId="57" xfId="0" applyFont="1" applyFill="1" applyBorder="1" applyAlignment="1" applyProtection="1">
      <alignment horizontal="center"/>
      <protection locked="0"/>
    </xf>
    <xf numFmtId="0" fontId="54" fillId="11" borderId="4" xfId="0" applyFont="1" applyFill="1" applyBorder="1" applyAlignment="1" applyProtection="1">
      <alignment horizontal="center"/>
      <protection locked="0"/>
    </xf>
    <xf numFmtId="0" fontId="54" fillId="11" borderId="22" xfId="0" applyFont="1" applyFill="1" applyBorder="1" applyAlignment="1" applyProtection="1">
      <alignment horizontal="center"/>
      <protection locked="0"/>
    </xf>
    <xf numFmtId="0" fontId="54" fillId="11" borderId="58" xfId="0" applyFont="1" applyFill="1" applyBorder="1" applyAlignment="1" applyProtection="1">
      <alignment horizontal="center"/>
      <protection locked="0"/>
    </xf>
    <xf numFmtId="0" fontId="54" fillId="11" borderId="59" xfId="0" applyFont="1" applyFill="1" applyBorder="1" applyAlignment="1" applyProtection="1">
      <alignment horizontal="center"/>
      <protection locked="0"/>
    </xf>
    <xf numFmtId="0" fontId="54" fillId="11" borderId="25" xfId="0" applyFont="1" applyFill="1" applyBorder="1" applyAlignment="1" applyProtection="1">
      <alignment horizontal="center"/>
      <protection locked="0"/>
    </xf>
    <xf numFmtId="0" fontId="54" fillId="11" borderId="60" xfId="0" applyFont="1" applyFill="1" applyBorder="1" applyAlignment="1" applyProtection="1">
      <alignment horizontal="center"/>
      <protection locked="0"/>
    </xf>
    <xf numFmtId="0" fontId="54" fillId="11" borderId="61" xfId="0" applyFont="1" applyFill="1" applyBorder="1" applyAlignment="1" applyProtection="1">
      <alignment horizontal="center"/>
      <protection locked="0"/>
    </xf>
    <xf numFmtId="0" fontId="54" fillId="11" borderId="24" xfId="0" applyFont="1" applyFill="1" applyBorder="1" applyAlignment="1" applyProtection="1">
      <alignment horizontal="center"/>
      <protection locked="0"/>
    </xf>
    <xf numFmtId="0" fontId="54" fillId="11" borderId="54" xfId="0" applyFont="1" applyFill="1" applyBorder="1" applyAlignment="1" applyProtection="1">
      <alignment horizontal="center"/>
      <protection locked="0"/>
    </xf>
    <xf numFmtId="0" fontId="54" fillId="11" borderId="69" xfId="0" applyFont="1" applyFill="1" applyBorder="1" applyAlignment="1">
      <alignment horizontal="center"/>
    </xf>
    <xf numFmtId="0" fontId="54" fillId="11" borderId="21" xfId="0" applyFont="1" applyFill="1" applyBorder="1" applyAlignment="1" applyProtection="1">
      <alignment horizontal="center"/>
      <protection locked="0"/>
    </xf>
    <xf numFmtId="0" fontId="54" fillId="11" borderId="70" xfId="0" applyFont="1" applyFill="1" applyBorder="1" applyAlignment="1" applyProtection="1">
      <alignment horizontal="center"/>
      <protection locked="0"/>
    </xf>
    <xf numFmtId="0" fontId="54" fillId="11" borderId="34" xfId="0" applyFont="1" applyFill="1" applyBorder="1" applyAlignment="1" applyProtection="1">
      <alignment horizontal="center"/>
      <protection locked="0"/>
    </xf>
    <xf numFmtId="0" fontId="54" fillId="6" borderId="32" xfId="0" applyFont="1" applyFill="1" applyBorder="1" applyAlignment="1" applyProtection="1">
      <alignment horizontal="center" wrapText="1"/>
      <protection locked="0"/>
    </xf>
    <xf numFmtId="0" fontId="54" fillId="6" borderId="35" xfId="0" applyFont="1" applyFill="1" applyBorder="1" applyAlignment="1" applyProtection="1">
      <alignment horizontal="center" wrapText="1"/>
      <protection locked="0"/>
    </xf>
    <xf numFmtId="0" fontId="54" fillId="6" borderId="71" xfId="0" applyFont="1" applyFill="1" applyBorder="1" applyAlignment="1" applyProtection="1">
      <alignment horizontal="center" wrapText="1"/>
      <protection locked="0"/>
    </xf>
    <xf numFmtId="0" fontId="54" fillId="6" borderId="33" xfId="0" applyFont="1" applyFill="1" applyBorder="1" applyAlignment="1" applyProtection="1">
      <alignment horizontal="center" wrapText="1"/>
      <protection locked="0"/>
    </xf>
    <xf numFmtId="0" fontId="54" fillId="6" borderId="20" xfId="0" applyFont="1" applyFill="1" applyBorder="1" applyAlignment="1" applyProtection="1">
      <alignment horizontal="center" wrapText="1"/>
      <protection locked="0"/>
    </xf>
    <xf numFmtId="0" fontId="54" fillId="6" borderId="21" xfId="0" applyFont="1" applyFill="1" applyBorder="1" applyAlignment="1" applyProtection="1">
      <alignment horizontal="center" wrapText="1"/>
      <protection locked="0"/>
    </xf>
    <xf numFmtId="0" fontId="54" fillId="6" borderId="72" xfId="0" applyFont="1" applyFill="1" applyBorder="1" applyAlignment="1" applyProtection="1">
      <alignment horizontal="center" wrapText="1"/>
      <protection locked="0"/>
    </xf>
    <xf numFmtId="0" fontId="54" fillId="6" borderId="34" xfId="0" applyFont="1" applyFill="1" applyBorder="1" applyAlignment="1" applyProtection="1">
      <alignment horizontal="center" wrapText="1"/>
      <protection locked="0"/>
    </xf>
    <xf numFmtId="0" fontId="54" fillId="11" borderId="32" xfId="0" applyFont="1" applyFill="1" applyBorder="1" applyAlignment="1" applyProtection="1">
      <alignment horizontal="center" wrapText="1"/>
      <protection locked="0"/>
    </xf>
    <xf numFmtId="0" fontId="54" fillId="11" borderId="33" xfId="0" applyFont="1" applyFill="1" applyBorder="1" applyAlignment="1" applyProtection="1">
      <alignment horizontal="center" wrapText="1"/>
      <protection locked="0"/>
    </xf>
    <xf numFmtId="0" fontId="54" fillId="11" borderId="20" xfId="0" applyFont="1" applyFill="1" applyBorder="1" applyAlignment="1" applyProtection="1">
      <alignment horizontal="center" wrapText="1"/>
      <protection locked="0"/>
    </xf>
    <xf numFmtId="0" fontId="54" fillId="11" borderId="35" xfId="0" applyFont="1" applyFill="1" applyBorder="1" applyAlignment="1" applyProtection="1">
      <alignment horizontal="center" wrapText="1"/>
      <protection locked="0"/>
    </xf>
    <xf numFmtId="0" fontId="54" fillId="11" borderId="21" xfId="0" applyFont="1" applyFill="1" applyBorder="1" applyAlignment="1" applyProtection="1">
      <alignment horizontal="center" wrapText="1"/>
      <protection locked="0"/>
    </xf>
    <xf numFmtId="0" fontId="54" fillId="11" borderId="71" xfId="0" applyFont="1" applyFill="1" applyBorder="1" applyAlignment="1" applyProtection="1">
      <alignment horizontal="center" wrapText="1"/>
      <protection locked="0"/>
    </xf>
    <xf numFmtId="0" fontId="54" fillId="11" borderId="27" xfId="0" applyFont="1" applyFill="1" applyBorder="1" applyAlignment="1" applyProtection="1">
      <alignment horizontal="center" wrapText="1"/>
      <protection locked="0"/>
    </xf>
    <xf numFmtId="0" fontId="54" fillId="11" borderId="72" xfId="0" applyFont="1" applyFill="1" applyBorder="1" applyAlignment="1" applyProtection="1">
      <alignment horizontal="center" wrapText="1"/>
      <protection locked="0"/>
    </xf>
    <xf numFmtId="0" fontId="54" fillId="7" borderId="33" xfId="0" applyFont="1" applyFill="1" applyBorder="1" applyAlignment="1" applyProtection="1">
      <alignment horizontal="center" wrapText="1"/>
      <protection locked="0"/>
    </xf>
    <xf numFmtId="0" fontId="54" fillId="7" borderId="36" xfId="0" applyFont="1" applyFill="1" applyBorder="1" applyAlignment="1" applyProtection="1">
      <alignment horizontal="center" wrapText="1"/>
      <protection locked="0"/>
    </xf>
    <xf numFmtId="0" fontId="54" fillId="7" borderId="34" xfId="0" applyFont="1" applyFill="1" applyBorder="1" applyAlignment="1" applyProtection="1">
      <alignment horizontal="center" wrapText="1"/>
      <protection locked="0"/>
    </xf>
    <xf numFmtId="0" fontId="0" fillId="5" borderId="0" xfId="0" applyFont="1" applyFill="1" applyAlignment="1" applyProtection="1">
      <alignment horizontal="center"/>
    </xf>
    <xf numFmtId="0" fontId="24" fillId="5" borderId="0" xfId="0" applyFont="1" applyFill="1" applyAlignment="1" applyProtection="1"/>
    <xf numFmtId="0" fontId="27" fillId="5" borderId="3" xfId="0" applyFont="1" applyFill="1" applyBorder="1" applyAlignment="1" applyProtection="1">
      <alignment horizontal="right"/>
    </xf>
    <xf numFmtId="0" fontId="27" fillId="5" borderId="3" xfId="0" applyFont="1" applyFill="1" applyBorder="1" applyAlignment="1" applyProtection="1">
      <alignment horizontal="left"/>
    </xf>
    <xf numFmtId="0" fontId="22" fillId="12" borderId="14" xfId="0" applyFont="1" applyFill="1" applyBorder="1" applyAlignment="1" applyProtection="1">
      <alignment vertical="center" wrapText="1"/>
    </xf>
    <xf numFmtId="0" fontId="22" fillId="13" borderId="16" xfId="0" applyFont="1" applyFill="1" applyBorder="1" applyAlignment="1" applyProtection="1">
      <alignment vertical="center" wrapText="1"/>
    </xf>
    <xf numFmtId="0" fontId="19" fillId="13" borderId="3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8" fillId="11" borderId="45" xfId="0" applyFont="1" applyFill="1" applyBorder="1" applyAlignment="1">
      <alignment vertical="center" wrapText="1"/>
    </xf>
    <xf numFmtId="0" fontId="54" fillId="11" borderId="73" xfId="0" applyFont="1" applyFill="1" applyBorder="1" applyAlignment="1">
      <alignment horizontal="center"/>
    </xf>
    <xf numFmtId="0" fontId="54" fillId="11" borderId="75" xfId="0" applyFont="1" applyFill="1" applyBorder="1" applyAlignment="1" applyProtection="1">
      <alignment horizontal="center"/>
      <protection locked="0"/>
    </xf>
    <xf numFmtId="0" fontId="54" fillId="11" borderId="76" xfId="0" applyFont="1" applyFill="1" applyBorder="1" applyAlignment="1" applyProtection="1">
      <alignment horizontal="center"/>
      <protection locked="0"/>
    </xf>
    <xf numFmtId="0" fontId="54" fillId="6" borderId="77" xfId="0" applyFont="1" applyFill="1" applyBorder="1" applyAlignment="1" applyProtection="1">
      <alignment horizontal="center" wrapText="1"/>
      <protection locked="0"/>
    </xf>
    <xf numFmtId="0" fontId="54" fillId="11" borderId="75" xfId="0" applyFont="1" applyFill="1" applyBorder="1" applyAlignment="1" applyProtection="1">
      <alignment horizontal="center" wrapText="1"/>
      <protection locked="0"/>
    </xf>
    <xf numFmtId="0" fontId="54" fillId="11" borderId="76" xfId="0" applyFont="1" applyFill="1" applyBorder="1" applyAlignment="1" applyProtection="1">
      <alignment horizontal="center" wrapText="1"/>
      <protection locked="0"/>
    </xf>
    <xf numFmtId="0" fontId="54" fillId="7" borderId="75" xfId="0" applyFont="1" applyFill="1" applyBorder="1" applyAlignment="1" applyProtection="1">
      <alignment horizontal="center" wrapText="1"/>
      <protection locked="0"/>
    </xf>
    <xf numFmtId="0" fontId="40" fillId="6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0" fillId="6" borderId="21" xfId="0" applyFont="1" applyFill="1" applyBorder="1" applyAlignment="1" applyProtection="1">
      <alignment horizontal="center" vertical="center" wrapText="1"/>
    </xf>
    <xf numFmtId="0" fontId="50" fillId="3" borderId="21" xfId="0" applyFont="1" applyFill="1" applyBorder="1" applyAlignment="1" applyProtection="1">
      <alignment horizontal="center"/>
      <protection locked="0"/>
    </xf>
    <xf numFmtId="0" fontId="48" fillId="6" borderId="19" xfId="0" applyFont="1" applyFill="1" applyBorder="1" applyAlignment="1" applyProtection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8" fillId="6" borderId="20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7" fillId="0" borderId="6" xfId="0" applyFont="1" applyFill="1" applyBorder="1" applyAlignment="1" applyProtection="1">
      <alignment horizontal="center"/>
    </xf>
    <xf numFmtId="0" fontId="53" fillId="0" borderId="26" xfId="0" applyFont="1" applyFill="1" applyBorder="1" applyAlignment="1" applyProtection="1">
      <alignment horizontal="center"/>
    </xf>
    <xf numFmtId="1" fontId="50" fillId="0" borderId="4" xfId="0" applyNumberFormat="1" applyFont="1" applyFill="1" applyBorder="1" applyAlignment="1" applyProtection="1">
      <alignment horizontal="center"/>
    </xf>
    <xf numFmtId="0" fontId="48" fillId="6" borderId="4" xfId="0" applyFont="1" applyFill="1" applyBorder="1" applyAlignment="1" applyProtection="1">
      <alignment horizontal="center" vertical="center" wrapText="1"/>
    </xf>
    <xf numFmtId="0" fontId="48" fillId="6" borderId="2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8" fillId="6" borderId="14" xfId="0" applyFont="1" applyFill="1" applyBorder="1" applyAlignment="1" applyProtection="1">
      <alignment horizontal="center" vertical="center"/>
    </xf>
    <xf numFmtId="0" fontId="40" fillId="6" borderId="3" xfId="0" applyFont="1" applyFill="1" applyBorder="1" applyAlignment="1" applyProtection="1">
      <alignment horizontal="center" vertical="center" wrapText="1"/>
    </xf>
    <xf numFmtId="0" fontId="48" fillId="6" borderId="3" xfId="0" applyFont="1" applyFill="1" applyBorder="1" applyAlignment="1" applyProtection="1">
      <alignment horizontal="center" vertical="center" wrapText="1"/>
    </xf>
    <xf numFmtId="0" fontId="50" fillId="3" borderId="3" xfId="0" applyFont="1" applyFill="1" applyBorder="1" applyAlignment="1" applyProtection="1">
      <alignment horizontal="center"/>
      <protection locked="0"/>
    </xf>
    <xf numFmtId="0" fontId="50" fillId="0" borderId="3" xfId="0" applyFont="1" applyFill="1" applyBorder="1" applyAlignment="1" applyProtection="1">
      <alignment horizontal="center"/>
    </xf>
    <xf numFmtId="1" fontId="50" fillId="0" borderId="3" xfId="0" applyNumberFormat="1" applyFont="1" applyFill="1" applyBorder="1" applyAlignment="1" applyProtection="1">
      <alignment horizontal="center"/>
    </xf>
    <xf numFmtId="0" fontId="35" fillId="5" borderId="3" xfId="1" applyFont="1" applyFill="1" applyBorder="1" applyAlignment="1">
      <alignment horizontal="center"/>
    </xf>
    <xf numFmtId="0" fontId="0" fillId="0" borderId="3" xfId="0" applyFont="1" applyFill="1" applyBorder="1" applyAlignment="1"/>
    <xf numFmtId="0" fontId="48" fillId="6" borderId="3" xfId="0" applyFont="1" applyFill="1" applyBorder="1" applyAlignment="1" applyProtection="1">
      <alignment horizontal="center" vertical="center"/>
    </xf>
    <xf numFmtId="0" fontId="39" fillId="5" borderId="3" xfId="0" applyFont="1" applyFill="1" applyBorder="1" applyAlignment="1"/>
    <xf numFmtId="2" fontId="5" fillId="18" borderId="20" xfId="0" applyNumberFormat="1" applyFont="1" applyFill="1" applyBorder="1" applyAlignment="1">
      <alignment horizontal="left"/>
    </xf>
    <xf numFmtId="1" fontId="66" fillId="18" borderId="21" xfId="0" applyNumberFormat="1" applyFont="1" applyFill="1" applyBorder="1" applyAlignment="1"/>
    <xf numFmtId="2" fontId="66" fillId="18" borderId="21" xfId="0" applyNumberFormat="1" applyFont="1" applyFill="1" applyBorder="1" applyAlignment="1"/>
    <xf numFmtId="2" fontId="67" fillId="18" borderId="21" xfId="0" applyNumberFormat="1" applyFont="1" applyFill="1" applyBorder="1" applyAlignment="1"/>
    <xf numFmtId="2" fontId="5" fillId="18" borderId="66" xfId="0" applyNumberFormat="1" applyFont="1" applyFill="1" applyBorder="1" applyAlignment="1">
      <alignment horizontal="left"/>
    </xf>
    <xf numFmtId="1" fontId="67" fillId="18" borderId="55" xfId="0" applyNumberFormat="1" applyFont="1" applyFill="1" applyBorder="1" applyAlignment="1"/>
    <xf numFmtId="1" fontId="62" fillId="18" borderId="55" xfId="0" applyNumberFormat="1" applyFont="1" applyFill="1" applyBorder="1" applyAlignment="1"/>
    <xf numFmtId="0" fontId="22" fillId="12" borderId="14" xfId="0" applyFont="1" applyFill="1" applyBorder="1" applyAlignment="1" applyProtection="1">
      <alignment horizontal="left" vertical="center" wrapText="1"/>
    </xf>
    <xf numFmtId="0" fontId="50" fillId="0" borderId="50" xfId="0" applyFont="1" applyFill="1" applyBorder="1" applyAlignment="1" applyProtection="1">
      <alignment horizontal="center"/>
    </xf>
    <xf numFmtId="0" fontId="48" fillId="6" borderId="32" xfId="0" applyFont="1" applyFill="1" applyBorder="1" applyAlignment="1" applyProtection="1">
      <alignment horizontal="center" vertical="center"/>
    </xf>
    <xf numFmtId="0" fontId="40" fillId="6" borderId="35" xfId="0" applyFont="1" applyFill="1" applyBorder="1" applyAlignment="1" applyProtection="1">
      <alignment horizontal="center" vertical="center" wrapText="1"/>
    </xf>
    <xf numFmtId="0" fontId="48" fillId="6" borderId="35" xfId="0" applyFont="1" applyFill="1" applyBorder="1" applyAlignment="1" applyProtection="1">
      <alignment horizontal="center" vertical="center" wrapText="1"/>
    </xf>
    <xf numFmtId="0" fontId="50" fillId="3" borderId="35" xfId="0" applyFont="1" applyFill="1" applyBorder="1" applyAlignment="1" applyProtection="1">
      <alignment horizontal="center"/>
      <protection locked="0"/>
    </xf>
    <xf numFmtId="0" fontId="50" fillId="3" borderId="36" xfId="0" applyFont="1" applyFill="1" applyBorder="1" applyAlignment="1" applyProtection="1">
      <alignment horizontal="center"/>
      <protection locked="0"/>
    </xf>
    <xf numFmtId="0" fontId="50" fillId="3" borderId="34" xfId="0" applyFont="1" applyFill="1" applyBorder="1" applyAlignment="1" applyProtection="1">
      <alignment horizontal="center"/>
      <protection locked="0"/>
    </xf>
    <xf numFmtId="0" fontId="53" fillId="0" borderId="82" xfId="0" applyFont="1" applyFill="1" applyBorder="1" applyAlignment="1" applyProtection="1">
      <alignment horizontal="center"/>
    </xf>
    <xf numFmtId="0" fontId="53" fillId="11" borderId="84" xfId="0" applyFont="1" applyFill="1" applyBorder="1" applyAlignment="1" applyProtection="1">
      <alignment horizontal="center"/>
      <protection locked="0"/>
    </xf>
    <xf numFmtId="0" fontId="53" fillId="11" borderId="85" xfId="0" applyFont="1" applyFill="1" applyBorder="1" applyAlignment="1" applyProtection="1">
      <alignment horizontal="center"/>
      <protection locked="0"/>
    </xf>
    <xf numFmtId="0" fontId="53" fillId="11" borderId="86" xfId="0" applyFont="1" applyFill="1" applyBorder="1" applyAlignment="1" applyProtection="1">
      <alignment horizontal="center"/>
      <protection locked="0"/>
    </xf>
    <xf numFmtId="0" fontId="57" fillId="16" borderId="79" xfId="0" applyFont="1" applyFill="1" applyBorder="1" applyAlignment="1" applyProtection="1">
      <alignment vertical="center" wrapText="1"/>
    </xf>
    <xf numFmtId="0" fontId="48" fillId="6" borderId="23" xfId="0" applyFont="1" applyFill="1" applyBorder="1" applyAlignment="1" applyProtection="1">
      <alignment horizontal="center" vertical="center"/>
    </xf>
    <xf numFmtId="0" fontId="40" fillId="6" borderId="24" xfId="0" applyFont="1" applyFill="1" applyBorder="1" applyAlignment="1" applyProtection="1">
      <alignment horizontal="center" vertical="center" wrapText="1"/>
    </xf>
    <xf numFmtId="0" fontId="48" fillId="6" borderId="24" xfId="0" applyFont="1" applyFill="1" applyBorder="1" applyAlignment="1" applyProtection="1">
      <alignment horizontal="center" vertical="center" wrapText="1"/>
    </xf>
    <xf numFmtId="0" fontId="53" fillId="11" borderId="88" xfId="0" applyFont="1" applyFill="1" applyBorder="1" applyAlignment="1" applyProtection="1">
      <alignment horizontal="center"/>
    </xf>
    <xf numFmtId="0" fontId="53" fillId="11" borderId="89" xfId="0" applyFont="1" applyFill="1" applyBorder="1" applyAlignment="1" applyProtection="1">
      <alignment horizontal="center"/>
    </xf>
    <xf numFmtId="0" fontId="53" fillId="11" borderId="90" xfId="0" applyFont="1" applyFill="1" applyBorder="1" applyAlignment="1" applyProtection="1">
      <alignment horizontal="center"/>
    </xf>
    <xf numFmtId="0" fontId="33" fillId="7" borderId="3" xfId="0" applyFont="1" applyFill="1" applyBorder="1" applyAlignment="1">
      <alignment horizontal="center" vertical="center"/>
    </xf>
    <xf numFmtId="0" fontId="54" fillId="11" borderId="3" xfId="0" applyFont="1" applyFill="1" applyBorder="1" applyAlignment="1" applyProtection="1">
      <alignment horizontal="center"/>
      <protection locked="0"/>
    </xf>
    <xf numFmtId="0" fontId="54" fillId="11" borderId="71" xfId="0" applyFont="1" applyFill="1" applyBorder="1" applyAlignment="1" applyProtection="1">
      <alignment horizontal="center"/>
      <protection locked="0"/>
    </xf>
    <xf numFmtId="0" fontId="54" fillId="11" borderId="27" xfId="0" applyFont="1" applyFill="1" applyBorder="1" applyAlignment="1" applyProtection="1">
      <alignment horizontal="center"/>
      <protection locked="0"/>
    </xf>
    <xf numFmtId="0" fontId="54" fillId="11" borderId="72" xfId="0" applyFont="1" applyFill="1" applyBorder="1" applyAlignment="1" applyProtection="1">
      <alignment horizontal="center"/>
      <protection locked="0"/>
    </xf>
    <xf numFmtId="0" fontId="54" fillId="11" borderId="91" xfId="0" applyFont="1" applyFill="1" applyBorder="1" applyAlignment="1" applyProtection="1">
      <alignment horizontal="center"/>
      <protection locked="0"/>
    </xf>
    <xf numFmtId="0" fontId="54" fillId="11" borderId="50" xfId="0" applyFont="1" applyFill="1" applyBorder="1" applyAlignment="1" applyProtection="1">
      <alignment horizontal="center"/>
      <protection locked="0"/>
    </xf>
    <xf numFmtId="0" fontId="54" fillId="11" borderId="77" xfId="0" applyFont="1" applyFill="1" applyBorder="1" applyAlignment="1" applyProtection="1">
      <alignment horizontal="center"/>
      <protection locked="0"/>
    </xf>
    <xf numFmtId="0" fontId="54" fillId="11" borderId="74" xfId="0" applyFont="1" applyFill="1" applyBorder="1" applyAlignment="1">
      <alignment horizontal="center"/>
    </xf>
    <xf numFmtId="0" fontId="54" fillId="11" borderId="78" xfId="0" applyFont="1" applyFill="1" applyBorder="1" applyAlignment="1">
      <alignment horizontal="center"/>
    </xf>
    <xf numFmtId="0" fontId="52" fillId="11" borderId="92" xfId="0" applyFont="1" applyFill="1" applyBorder="1" applyAlignment="1">
      <alignment horizontal="center"/>
    </xf>
    <xf numFmtId="0" fontId="52" fillId="11" borderId="93" xfId="0" applyFont="1" applyFill="1" applyBorder="1" applyAlignment="1" applyProtection="1">
      <alignment horizontal="center"/>
      <protection locked="0"/>
    </xf>
    <xf numFmtId="0" fontId="52" fillId="6" borderId="93" xfId="0" applyFont="1" applyFill="1" applyBorder="1" applyAlignment="1" applyProtection="1">
      <alignment horizontal="center"/>
      <protection locked="0"/>
    </xf>
    <xf numFmtId="0" fontId="52" fillId="6" borderId="94" xfId="0" applyFont="1" applyFill="1" applyBorder="1" applyAlignment="1" applyProtection="1">
      <alignment horizontal="center"/>
      <protection locked="0"/>
    </xf>
    <xf numFmtId="0" fontId="64" fillId="13" borderId="41" xfId="0" applyFont="1" applyFill="1" applyBorder="1" applyAlignment="1">
      <alignment horizontal="center"/>
    </xf>
    <xf numFmtId="0" fontId="60" fillId="7" borderId="20" xfId="0" applyFont="1" applyFill="1" applyBorder="1" applyAlignment="1">
      <alignment horizontal="center" vertical="center" wrapText="1"/>
    </xf>
    <xf numFmtId="0" fontId="60" fillId="7" borderId="21" xfId="0" applyFont="1" applyFill="1" applyBorder="1" applyAlignment="1">
      <alignment horizontal="center" vertical="center"/>
    </xf>
    <xf numFmtId="0" fontId="60" fillId="7" borderId="34" xfId="0" applyFont="1" applyFill="1" applyBorder="1" applyAlignment="1">
      <alignment horizontal="center" vertical="center"/>
    </xf>
    <xf numFmtId="0" fontId="54" fillId="7" borderId="97" xfId="0" applyFont="1" applyFill="1" applyBorder="1" applyAlignment="1" applyProtection="1">
      <alignment horizontal="center" wrapText="1"/>
      <protection locked="0"/>
    </xf>
    <xf numFmtId="0" fontId="54" fillId="7" borderId="98" xfId="0" applyFont="1" applyFill="1" applyBorder="1" applyAlignment="1" applyProtection="1">
      <alignment horizontal="center" wrapText="1"/>
      <protection locked="0"/>
    </xf>
    <xf numFmtId="0" fontId="54" fillId="7" borderId="99" xfId="0" applyFont="1" applyFill="1" applyBorder="1" applyAlignment="1" applyProtection="1">
      <alignment horizontal="center" wrapText="1"/>
      <protection locked="0"/>
    </xf>
    <xf numFmtId="0" fontId="52" fillId="11" borderId="101" xfId="0" applyFont="1" applyFill="1" applyBorder="1" applyAlignment="1" applyProtection="1">
      <alignment horizontal="center"/>
    </xf>
    <xf numFmtId="0" fontId="52" fillId="11" borderId="102" xfId="0" applyFont="1" applyFill="1" applyBorder="1" applyAlignment="1" applyProtection="1">
      <alignment horizontal="center"/>
    </xf>
    <xf numFmtId="0" fontId="52" fillId="11" borderId="100" xfId="0" applyFont="1" applyFill="1" applyBorder="1" applyAlignment="1" applyProtection="1">
      <alignment horizontal="center"/>
    </xf>
    <xf numFmtId="0" fontId="54" fillId="11" borderId="95" xfId="0" applyFont="1" applyFill="1" applyBorder="1" applyAlignment="1" applyProtection="1">
      <alignment horizontal="center"/>
      <protection locked="0"/>
    </xf>
    <xf numFmtId="0" fontId="54" fillId="11" borderId="96" xfId="0" applyFont="1" applyFill="1" applyBorder="1" applyAlignment="1" applyProtection="1">
      <alignment horizontal="center"/>
      <protection locked="0"/>
    </xf>
    <xf numFmtId="0" fontId="54" fillId="11" borderId="95" xfId="0" applyFont="1" applyFill="1" applyBorder="1" applyAlignment="1" applyProtection="1">
      <alignment horizontal="center" wrapText="1"/>
      <protection locked="0"/>
    </xf>
    <xf numFmtId="0" fontId="54" fillId="11" borderId="96" xfId="0" applyFont="1" applyFill="1" applyBorder="1" applyAlignment="1" applyProtection="1">
      <alignment horizontal="center" wrapText="1"/>
      <protection locked="0"/>
    </xf>
    <xf numFmtId="0" fontId="54" fillId="7" borderId="95" xfId="0" applyFont="1" applyFill="1" applyBorder="1" applyAlignment="1" applyProtection="1">
      <alignment horizontal="center" wrapText="1"/>
      <protection locked="0"/>
    </xf>
    <xf numFmtId="0" fontId="54" fillId="7" borderId="104" xfId="0" applyFont="1" applyFill="1" applyBorder="1" applyAlignment="1" applyProtection="1">
      <alignment horizontal="center" wrapText="1"/>
      <protection locked="0"/>
    </xf>
    <xf numFmtId="0" fontId="33" fillId="7" borderId="42" xfId="0" applyFont="1" applyFill="1" applyBorder="1" applyAlignment="1">
      <alignment horizontal="center" vertical="center"/>
    </xf>
    <xf numFmtId="0" fontId="33" fillId="7" borderId="43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 wrapText="1"/>
    </xf>
    <xf numFmtId="0" fontId="33" fillId="7" borderId="43" xfId="0" applyFont="1" applyFill="1" applyBorder="1" applyAlignment="1">
      <alignment horizontal="center" vertical="center" wrapText="1"/>
    </xf>
    <xf numFmtId="0" fontId="33" fillId="7" borderId="41" xfId="0" applyFont="1" applyFill="1" applyBorder="1" applyAlignment="1">
      <alignment horizontal="center" vertical="center" wrapText="1"/>
    </xf>
    <xf numFmtId="0" fontId="33" fillId="7" borderId="105" xfId="0" applyFont="1" applyFill="1" applyBorder="1" applyAlignment="1">
      <alignment horizontal="center" vertical="center" wrapText="1"/>
    </xf>
    <xf numFmtId="0" fontId="33" fillId="7" borderId="42" xfId="0" applyFont="1" applyFill="1" applyBorder="1" applyAlignment="1">
      <alignment horizontal="center" vertical="center" wrapText="1"/>
    </xf>
    <xf numFmtId="0" fontId="52" fillId="11" borderId="107" xfId="0" applyFont="1" applyFill="1" applyBorder="1" applyAlignment="1" applyProtection="1">
      <alignment horizontal="center"/>
    </xf>
    <xf numFmtId="0" fontId="52" fillId="11" borderId="41" xfId="0" applyFont="1" applyFill="1" applyBorder="1" applyAlignment="1" applyProtection="1">
      <alignment horizontal="center"/>
    </xf>
    <xf numFmtId="0" fontId="52" fillId="11" borderId="42" xfId="0" applyFont="1" applyFill="1" applyBorder="1" applyAlignment="1" applyProtection="1">
      <alignment horizontal="center"/>
    </xf>
    <xf numFmtId="0" fontId="52" fillId="11" borderId="43" xfId="0" applyFont="1" applyFill="1" applyBorder="1" applyAlignment="1" applyProtection="1">
      <alignment horizontal="center"/>
    </xf>
    <xf numFmtId="0" fontId="24" fillId="5" borderId="3" xfId="0" applyFont="1" applyFill="1" applyBorder="1" applyAlignment="1">
      <alignment vertical="top" wrapText="1"/>
    </xf>
    <xf numFmtId="0" fontId="33" fillId="7" borderId="41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59" fillId="7" borderId="51" xfId="0" applyFont="1" applyFill="1" applyBorder="1" applyAlignment="1" applyProtection="1">
      <alignment horizontal="center" vertical="center" wrapText="1"/>
      <protection locked="0"/>
    </xf>
    <xf numFmtId="0" fontId="24" fillId="11" borderId="0" xfId="0" applyFont="1" applyFill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33" fillId="7" borderId="62" xfId="0" applyFont="1" applyFill="1" applyBorder="1" applyAlignment="1">
      <alignment horizontal="center" vertical="center"/>
    </xf>
    <xf numFmtId="0" fontId="33" fillId="7" borderId="64" xfId="0" applyFont="1" applyFill="1" applyBorder="1" applyAlignment="1">
      <alignment horizontal="center" vertical="center"/>
    </xf>
    <xf numFmtId="0" fontId="0" fillId="6" borderId="108" xfId="0" applyFont="1" applyFill="1" applyBorder="1" applyAlignment="1"/>
    <xf numFmtId="0" fontId="0" fillId="6" borderId="12" xfId="0" applyFont="1" applyFill="1" applyBorder="1" applyAlignment="1"/>
    <xf numFmtId="0" fontId="0" fillId="6" borderId="0" xfId="0" applyFont="1" applyFill="1" applyAlignment="1"/>
    <xf numFmtId="0" fontId="54" fillId="11" borderId="30" xfId="0" applyFont="1" applyFill="1" applyBorder="1" applyAlignment="1" applyProtection="1">
      <alignment horizontal="center"/>
      <protection locked="0"/>
    </xf>
    <xf numFmtId="0" fontId="0" fillId="6" borderId="3" xfId="0" applyFont="1" applyFill="1" applyBorder="1" applyAlignment="1"/>
    <xf numFmtId="0" fontId="54" fillId="11" borderId="103" xfId="0" applyFont="1" applyFill="1" applyBorder="1" applyAlignment="1" applyProtection="1">
      <alignment horizontal="center"/>
      <protection locked="0"/>
    </xf>
    <xf numFmtId="0" fontId="54" fillId="11" borderId="63" xfId="0" applyFont="1" applyFill="1" applyBorder="1" applyAlignment="1" applyProtection="1">
      <alignment horizontal="center"/>
      <protection locked="0"/>
    </xf>
    <xf numFmtId="0" fontId="54" fillId="11" borderId="68" xfId="0" applyFont="1" applyFill="1" applyBorder="1" applyAlignment="1" applyProtection="1">
      <alignment horizontal="center"/>
      <protection locked="0"/>
    </xf>
    <xf numFmtId="0" fontId="52" fillId="11" borderId="111" xfId="0" applyFont="1" applyFill="1" applyBorder="1" applyAlignment="1" applyProtection="1">
      <alignment horizontal="center"/>
    </xf>
    <xf numFmtId="0" fontId="52" fillId="11" borderId="112" xfId="0" applyFont="1" applyFill="1" applyBorder="1" applyAlignment="1" applyProtection="1">
      <alignment horizontal="center"/>
    </xf>
    <xf numFmtId="0" fontId="52" fillId="11" borderId="5" xfId="0" applyFont="1" applyFill="1" applyBorder="1" applyAlignment="1" applyProtection="1">
      <alignment horizontal="center"/>
    </xf>
    <xf numFmtId="0" fontId="22" fillId="21" borderId="14" xfId="0" applyFont="1" applyFill="1" applyBorder="1" applyAlignment="1" applyProtection="1">
      <alignment vertical="center" wrapText="1"/>
    </xf>
    <xf numFmtId="0" fontId="23" fillId="21" borderId="15" xfId="0" applyFont="1" applyFill="1" applyBorder="1" applyAlignment="1" applyProtection="1">
      <alignment horizontal="center" vertical="center" wrapText="1"/>
    </xf>
    <xf numFmtId="0" fontId="46" fillId="20" borderId="8" xfId="0" applyFont="1" applyFill="1" applyBorder="1" applyAlignment="1" applyProtection="1">
      <alignment horizontal="center"/>
      <protection locked="0"/>
    </xf>
    <xf numFmtId="0" fontId="46" fillId="20" borderId="8" xfId="0" applyFont="1" applyFill="1" applyBorder="1" applyAlignment="1" applyProtection="1">
      <alignment horizontal="center" vertical="center"/>
      <protection locked="0"/>
    </xf>
    <xf numFmtId="0" fontId="54" fillId="11" borderId="114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left" vertical="center" wrapText="1"/>
    </xf>
    <xf numFmtId="0" fontId="54" fillId="11" borderId="29" xfId="0" applyFont="1" applyFill="1" applyBorder="1" applyAlignment="1" applyProtection="1">
      <alignment horizontal="center" wrapText="1"/>
      <protection locked="0"/>
    </xf>
    <xf numFmtId="0" fontId="54" fillId="11" borderId="28" xfId="0" applyFont="1" applyFill="1" applyBorder="1" applyAlignment="1" applyProtection="1">
      <alignment horizontal="center" wrapText="1"/>
      <protection locked="0"/>
    </xf>
    <xf numFmtId="0" fontId="54" fillId="7" borderId="4" xfId="0" applyFont="1" applyFill="1" applyBorder="1" applyAlignment="1" applyProtection="1">
      <alignment horizontal="center" wrapText="1"/>
      <protection locked="0"/>
    </xf>
    <xf numFmtId="0" fontId="54" fillId="7" borderId="32" xfId="0" applyFont="1" applyFill="1" applyBorder="1" applyAlignment="1" applyProtection="1">
      <alignment horizontal="center" wrapText="1"/>
      <protection locked="0"/>
    </xf>
    <xf numFmtId="0" fontId="54" fillId="7" borderId="35" xfId="0" applyFont="1" applyFill="1" applyBorder="1" applyAlignment="1" applyProtection="1">
      <alignment horizontal="center" wrapText="1"/>
      <protection locked="0"/>
    </xf>
    <xf numFmtId="0" fontId="54" fillId="7" borderId="19" xfId="0" applyFont="1" applyFill="1" applyBorder="1" applyAlignment="1" applyProtection="1">
      <alignment horizontal="center" wrapText="1"/>
      <protection locked="0"/>
    </xf>
    <xf numFmtId="0" fontId="54" fillId="7" borderId="20" xfId="0" applyFont="1" applyFill="1" applyBorder="1" applyAlignment="1" applyProtection="1">
      <alignment horizontal="center" wrapText="1"/>
      <protection locked="0"/>
    </xf>
    <xf numFmtId="0" fontId="54" fillId="7" borderId="21" xfId="0" applyFont="1" applyFill="1" applyBorder="1" applyAlignment="1" applyProtection="1">
      <alignment horizontal="center" wrapText="1"/>
      <protection locked="0"/>
    </xf>
    <xf numFmtId="0" fontId="77" fillId="19" borderId="1" xfId="0" applyFont="1" applyFill="1" applyBorder="1" applyAlignment="1" applyProtection="1">
      <alignment horizontal="center"/>
      <protection locked="0"/>
    </xf>
    <xf numFmtId="0" fontId="77" fillId="19" borderId="26" xfId="0" applyFont="1" applyFill="1" applyBorder="1" applyAlignment="1" applyProtection="1">
      <alignment horizontal="center"/>
      <protection locked="0"/>
    </xf>
    <xf numFmtId="0" fontId="77" fillId="19" borderId="83" xfId="0" applyFont="1" applyFill="1" applyBorder="1" applyAlignment="1" applyProtection="1">
      <alignment horizontal="center"/>
      <protection locked="0"/>
    </xf>
    <xf numFmtId="0" fontId="22" fillId="3" borderId="14" xfId="0" applyFont="1" applyFill="1" applyBorder="1" applyAlignment="1" applyProtection="1">
      <alignment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0" fontId="33" fillId="11" borderId="73" xfId="0" applyFont="1" applyFill="1" applyBorder="1" applyAlignment="1" applyProtection="1">
      <alignment horizontal="center" wrapText="1"/>
    </xf>
    <xf numFmtId="0" fontId="33" fillId="11" borderId="44" xfId="0" applyFont="1" applyFill="1" applyBorder="1" applyAlignment="1" applyProtection="1">
      <alignment horizontal="center"/>
    </xf>
    <xf numFmtId="0" fontId="33" fillId="11" borderId="100" xfId="0" applyFont="1" applyFill="1" applyBorder="1" applyAlignment="1" applyProtection="1">
      <alignment horizontal="center"/>
    </xf>
    <xf numFmtId="0" fontId="33" fillId="11" borderId="80" xfId="0" applyFont="1" applyFill="1" applyBorder="1" applyAlignment="1" applyProtection="1">
      <alignment horizontal="center"/>
    </xf>
    <xf numFmtId="0" fontId="24" fillId="0" borderId="0" xfId="0" applyFont="1" applyFill="1" applyAlignment="1">
      <alignment horizontal="center"/>
    </xf>
    <xf numFmtId="0" fontId="78" fillId="7" borderId="42" xfId="0" applyFont="1" applyFill="1" applyBorder="1" applyAlignment="1">
      <alignment horizontal="center" vertical="center" wrapText="1"/>
    </xf>
    <xf numFmtId="0" fontId="79" fillId="8" borderId="8" xfId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2" fontId="22" fillId="7" borderId="3" xfId="0" applyNumberFormat="1" applyFont="1" applyFill="1" applyBorder="1" applyAlignment="1" applyProtection="1">
      <alignment horizontal="center"/>
    </xf>
    <xf numFmtId="2" fontId="22" fillId="11" borderId="3" xfId="0" applyNumberFormat="1" applyFont="1" applyFill="1" applyBorder="1" applyAlignment="1" applyProtection="1">
      <alignment horizontal="center"/>
    </xf>
    <xf numFmtId="2" fontId="22" fillId="11" borderId="3" xfId="0" quotePrefix="1" applyNumberFormat="1" applyFont="1" applyFill="1" applyBorder="1" applyAlignment="1" applyProtection="1">
      <alignment horizontal="center"/>
    </xf>
    <xf numFmtId="2" fontId="22" fillId="0" borderId="3" xfId="0" applyNumberFormat="1" applyFont="1" applyFill="1" applyBorder="1" applyAlignment="1" applyProtection="1"/>
    <xf numFmtId="2" fontId="22" fillId="0" borderId="3" xfId="0" applyNumberFormat="1" applyFont="1" applyFill="1" applyBorder="1" applyAlignment="1" applyProtection="1">
      <alignment horizontal="right"/>
    </xf>
    <xf numFmtId="0" fontId="2" fillId="0" borderId="0" xfId="0" applyFont="1" applyFill="1" applyAlignment="1"/>
    <xf numFmtId="0" fontId="2" fillId="5" borderId="0" xfId="0" applyFont="1" applyFill="1" applyAlignment="1"/>
    <xf numFmtId="0" fontId="23" fillId="5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0" fontId="82" fillId="0" borderId="0" xfId="0" applyFont="1" applyFill="1" applyAlignment="1"/>
    <xf numFmtId="0" fontId="83" fillId="0" borderId="0" xfId="0" applyFont="1" applyFill="1" applyProtection="1"/>
    <xf numFmtId="0" fontId="82" fillId="0" borderId="0" xfId="0" applyFont="1" applyFill="1" applyAlignment="1" applyProtection="1">
      <alignment horizontal="center"/>
    </xf>
    <xf numFmtId="0" fontId="82" fillId="0" borderId="0" xfId="0" applyFont="1" applyFill="1" applyAlignment="1" applyProtection="1"/>
    <xf numFmtId="0" fontId="82" fillId="0" borderId="0" xfId="0" applyFont="1" applyFill="1" applyAlignment="1">
      <alignment horizontal="center"/>
    </xf>
    <xf numFmtId="0" fontId="26" fillId="0" borderId="3" xfId="0" applyFont="1" applyFill="1" applyBorder="1" applyProtection="1"/>
    <xf numFmtId="0" fontId="26" fillId="0" borderId="3" xfId="0" applyFont="1" applyFill="1" applyBorder="1" applyAlignment="1" applyProtection="1">
      <alignment wrapText="1"/>
    </xf>
    <xf numFmtId="0" fontId="2" fillId="11" borderId="15" xfId="0" applyFont="1" applyFill="1" applyBorder="1" applyAlignment="1" applyProtection="1">
      <alignment horizontal="center"/>
    </xf>
    <xf numFmtId="0" fontId="2" fillId="7" borderId="15" xfId="0" applyFont="1" applyFill="1" applyBorder="1" applyAlignment="1" applyProtection="1">
      <alignment horizontal="center"/>
    </xf>
    <xf numFmtId="0" fontId="16" fillId="11" borderId="14" xfId="0" applyFont="1" applyFill="1" applyBorder="1" applyAlignment="1" applyProtection="1">
      <alignment horizontal="right" vertical="center" wrapText="1"/>
    </xf>
    <xf numFmtId="0" fontId="86" fillId="7" borderId="14" xfId="0" applyFont="1" applyFill="1" applyBorder="1" applyAlignment="1" applyProtection="1">
      <alignment horizontal="center" vertical="center" wrapText="1"/>
    </xf>
    <xf numFmtId="0" fontId="18" fillId="7" borderId="48" xfId="0" applyFont="1" applyFill="1" applyBorder="1" applyAlignment="1" applyProtection="1">
      <alignment horizontal="center" wrapText="1"/>
    </xf>
    <xf numFmtId="0" fontId="18" fillId="7" borderId="81" xfId="0" applyFont="1" applyFill="1" applyBorder="1" applyAlignment="1" applyProtection="1">
      <alignment horizontal="center" wrapText="1"/>
    </xf>
    <xf numFmtId="0" fontId="18" fillId="7" borderId="49" xfId="0" applyFont="1" applyFill="1" applyBorder="1" applyAlignment="1" applyProtection="1">
      <alignment horizont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84" fillId="0" borderId="16" xfId="0" applyFont="1" applyFill="1" applyBorder="1" applyAlignment="1" applyProtection="1">
      <alignment horizontal="center"/>
    </xf>
    <xf numFmtId="0" fontId="18" fillId="7" borderId="81" xfId="0" applyFont="1" applyFill="1" applyBorder="1" applyAlignment="1">
      <alignment horizontal="center" vertical="center" wrapText="1"/>
    </xf>
    <xf numFmtId="0" fontId="84" fillId="0" borderId="80" xfId="0" applyFont="1" applyFill="1" applyBorder="1" applyAlignment="1" applyProtection="1">
      <alignment horizontal="center"/>
    </xf>
    <xf numFmtId="0" fontId="84" fillId="0" borderId="48" xfId="0" applyFont="1" applyFill="1" applyBorder="1" applyAlignment="1" applyProtection="1">
      <alignment horizontal="center"/>
    </xf>
    <xf numFmtId="0" fontId="33" fillId="11" borderId="73" xfId="0" applyFont="1" applyFill="1" applyBorder="1" applyAlignment="1" applyProtection="1">
      <alignment horizontal="center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vertical="center" wrapText="1"/>
    </xf>
    <xf numFmtId="0" fontId="5" fillId="5" borderId="0" xfId="0" applyFont="1" applyFill="1" applyAlignment="1" applyProtection="1"/>
    <xf numFmtId="0" fontId="5" fillId="5" borderId="0" xfId="0" applyFont="1" applyFill="1" applyAlignment="1"/>
    <xf numFmtId="0" fontId="5" fillId="5" borderId="0" xfId="0" applyFont="1" applyFill="1" applyAlignment="1" applyProtection="1">
      <alignment horizontal="center"/>
    </xf>
    <xf numFmtId="0" fontId="33" fillId="7" borderId="20" xfId="0" applyFont="1" applyFill="1" applyBorder="1" applyAlignment="1" applyProtection="1">
      <alignment horizontal="center"/>
    </xf>
    <xf numFmtId="0" fontId="87" fillId="11" borderId="32" xfId="0" applyFont="1" applyFill="1" applyBorder="1" applyAlignment="1" applyProtection="1">
      <alignment horizontal="center"/>
    </xf>
    <xf numFmtId="0" fontId="87" fillId="11" borderId="33" xfId="0" applyFont="1" applyFill="1" applyBorder="1" applyAlignment="1" applyProtection="1">
      <alignment horizontal="center"/>
    </xf>
    <xf numFmtId="0" fontId="87" fillId="11" borderId="35" xfId="0" applyFont="1" applyFill="1" applyBorder="1" applyAlignment="1" applyProtection="1">
      <alignment horizontal="center"/>
    </xf>
    <xf numFmtId="0" fontId="87" fillId="11" borderId="20" xfId="0" applyFont="1" applyFill="1" applyBorder="1" applyAlignment="1" applyProtection="1">
      <alignment horizontal="center"/>
    </xf>
    <xf numFmtId="0" fontId="87" fillId="11" borderId="34" xfId="0" applyFont="1" applyFill="1" applyBorder="1" applyAlignment="1" applyProtection="1">
      <alignment horizontal="center"/>
    </xf>
    <xf numFmtId="0" fontId="87" fillId="11" borderId="21" xfId="0" applyFont="1" applyFill="1" applyBorder="1" applyAlignment="1" applyProtection="1">
      <alignment horizontal="center"/>
    </xf>
    <xf numFmtId="1" fontId="87" fillId="11" borderId="21" xfId="0" applyNumberFormat="1" applyFont="1" applyFill="1" applyBorder="1" applyAlignment="1" applyProtection="1">
      <alignment horizontal="center"/>
    </xf>
    <xf numFmtId="0" fontId="5" fillId="5" borderId="0" xfId="0" applyFont="1" applyFill="1" applyProtection="1"/>
    <xf numFmtId="0" fontId="5" fillId="5" borderId="3" xfId="0" applyFont="1" applyFill="1" applyBorder="1" applyProtection="1"/>
    <xf numFmtId="0" fontId="33" fillId="11" borderId="101" xfId="0" applyFont="1" applyFill="1" applyBorder="1" applyAlignment="1" applyProtection="1">
      <alignment horizontal="center"/>
    </xf>
    <xf numFmtId="0" fontId="33" fillId="11" borderId="102" xfId="0" applyFont="1" applyFill="1" applyBorder="1" applyAlignment="1" applyProtection="1">
      <alignment horizontal="center"/>
    </xf>
    <xf numFmtId="0" fontId="87" fillId="11" borderId="78" xfId="0" applyFont="1" applyFill="1" applyBorder="1" applyAlignment="1" applyProtection="1">
      <alignment horizontal="center"/>
    </xf>
    <xf numFmtId="0" fontId="88" fillId="0" borderId="5" xfId="0" applyFont="1" applyFill="1" applyBorder="1" applyAlignment="1" applyProtection="1">
      <alignment horizontal="center"/>
    </xf>
    <xf numFmtId="0" fontId="88" fillId="0" borderId="6" xfId="0" applyFont="1" applyFill="1" applyBorder="1" applyAlignment="1" applyProtection="1">
      <alignment horizontal="center"/>
    </xf>
    <xf numFmtId="0" fontId="88" fillId="0" borderId="7" xfId="0" applyFont="1" applyFill="1" applyBorder="1" applyAlignment="1" applyProtection="1">
      <alignment horizontal="center"/>
    </xf>
    <xf numFmtId="0" fontId="88" fillId="0" borderId="0" xfId="0" applyFont="1" applyFill="1" applyAlignment="1" applyProtection="1">
      <alignment horizontal="center"/>
    </xf>
    <xf numFmtId="0" fontId="33" fillId="11" borderId="109" xfId="0" applyFont="1" applyFill="1" applyBorder="1" applyAlignment="1" applyProtection="1">
      <alignment horizontal="center"/>
    </xf>
    <xf numFmtId="0" fontId="88" fillId="0" borderId="0" xfId="0" applyFont="1" applyFill="1" applyAlignment="1"/>
    <xf numFmtId="0" fontId="88" fillId="0" borderId="0" xfId="0" applyFont="1" applyFill="1" applyProtection="1"/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4" fillId="5" borderId="3" xfId="0" applyFont="1" applyFill="1" applyBorder="1" applyAlignment="1" applyProtection="1"/>
    <xf numFmtId="0" fontId="5" fillId="5" borderId="3" xfId="0" applyFont="1" applyFill="1" applyBorder="1" applyAlignment="1" applyProtection="1">
      <alignment horizontal="center"/>
    </xf>
    <xf numFmtId="0" fontId="0" fillId="5" borderId="3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4" fillId="0" borderId="3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24" fillId="0" borderId="3" xfId="0" applyFont="1" applyFill="1" applyBorder="1" applyAlignment="1" applyProtection="1"/>
    <xf numFmtId="0" fontId="18" fillId="0" borderId="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vertical="center" wrapText="1"/>
    </xf>
    <xf numFmtId="0" fontId="88" fillId="0" borderId="5" xfId="0" applyFont="1" applyFill="1" applyBorder="1" applyAlignment="1" applyProtection="1"/>
    <xf numFmtId="0" fontId="88" fillId="0" borderId="6" xfId="0" applyFont="1" applyFill="1" applyBorder="1" applyAlignment="1" applyProtection="1"/>
    <xf numFmtId="0" fontId="88" fillId="0" borderId="7" xfId="0" applyFont="1" applyFill="1" applyBorder="1" applyAlignment="1" applyProtection="1"/>
    <xf numFmtId="0" fontId="24" fillId="5" borderId="3" xfId="0" applyFont="1" applyFill="1" applyBorder="1" applyAlignment="1"/>
    <xf numFmtId="0" fontId="33" fillId="0" borderId="3" xfId="0" applyFont="1" applyFill="1" applyBorder="1" applyAlignment="1" applyProtection="1">
      <alignment vertical="center" wrapText="1"/>
    </xf>
    <xf numFmtId="0" fontId="26" fillId="5" borderId="3" xfId="0" applyFont="1" applyFill="1" applyBorder="1" applyProtection="1"/>
    <xf numFmtId="0" fontId="5" fillId="5" borderId="3" xfId="0" applyFont="1" applyFill="1" applyBorder="1" applyAlignment="1"/>
    <xf numFmtId="0" fontId="2" fillId="5" borderId="3" xfId="0" applyFont="1" applyFill="1" applyBorder="1" applyAlignment="1"/>
    <xf numFmtId="0" fontId="5" fillId="5" borderId="3" xfId="0" applyFont="1" applyFill="1" applyBorder="1"/>
    <xf numFmtId="0" fontId="23" fillId="5" borderId="3" xfId="0" applyFont="1" applyFill="1" applyBorder="1" applyProtection="1"/>
    <xf numFmtId="0" fontId="82" fillId="0" borderId="3" xfId="0" applyFont="1" applyFill="1" applyBorder="1" applyAlignment="1"/>
    <xf numFmtId="0" fontId="83" fillId="0" borderId="3" xfId="0" applyFont="1" applyFill="1" applyBorder="1" applyProtection="1"/>
    <xf numFmtId="0" fontId="84" fillId="0" borderId="3" xfId="0" applyFont="1" applyFill="1" applyBorder="1" applyAlignment="1" applyProtection="1">
      <alignment horizontal="center" vertical="center" wrapText="1"/>
    </xf>
    <xf numFmtId="0" fontId="88" fillId="0" borderId="3" xfId="0" applyFont="1" applyFill="1" applyBorder="1" applyAlignment="1"/>
    <xf numFmtId="0" fontId="88" fillId="0" borderId="3" xfId="0" applyFont="1" applyFill="1" applyBorder="1" applyProtection="1"/>
    <xf numFmtId="0" fontId="0" fillId="0" borderId="3" xfId="0" applyFont="1" applyFill="1" applyBorder="1" applyAlignment="1" applyProtection="1">
      <alignment horizontal="center"/>
    </xf>
    <xf numFmtId="164" fontId="22" fillId="19" borderId="5" xfId="0" applyNumberFormat="1" applyFont="1" applyFill="1" applyBorder="1" applyAlignment="1" applyProtection="1">
      <alignment horizontal="right"/>
    </xf>
    <xf numFmtId="164" fontId="73" fillId="19" borderId="7" xfId="0" applyNumberFormat="1" applyFont="1" applyFill="1" applyBorder="1" applyAlignment="1" applyProtection="1"/>
    <xf numFmtId="0" fontId="11" fillId="13" borderId="19" xfId="0" applyFont="1" applyFill="1" applyBorder="1" applyAlignment="1">
      <alignment horizontal="center" vertical="center" wrapText="1"/>
    </xf>
    <xf numFmtId="0" fontId="60" fillId="7" borderId="41" xfId="0" applyFont="1" applyFill="1" applyBorder="1" applyAlignment="1">
      <alignment horizontal="center" vertical="center" wrapText="1"/>
    </xf>
    <xf numFmtId="0" fontId="60" fillId="7" borderId="20" xfId="0" applyFont="1" applyFill="1" applyBorder="1" applyAlignment="1" applyProtection="1">
      <alignment horizontal="center"/>
    </xf>
    <xf numFmtId="0" fontId="60" fillId="7" borderId="41" xfId="0" applyFont="1" applyFill="1" applyBorder="1" applyAlignment="1">
      <alignment horizontal="center" vertical="center"/>
    </xf>
    <xf numFmtId="2" fontId="81" fillId="16" borderId="80" xfId="0" applyNumberFormat="1" applyFont="1" applyFill="1" applyBorder="1" applyAlignment="1" applyProtection="1">
      <alignment horizontal="center" vertical="center"/>
    </xf>
    <xf numFmtId="0" fontId="11" fillId="10" borderId="80" xfId="0" applyFont="1" applyFill="1" applyBorder="1" applyAlignment="1" applyProtection="1">
      <alignment horizontal="center" wrapText="1"/>
    </xf>
    <xf numFmtId="0" fontId="22" fillId="19" borderId="5" xfId="0" applyFont="1" applyFill="1" applyBorder="1" applyAlignment="1" applyProtection="1">
      <alignment horizontal="center" vertical="center"/>
    </xf>
    <xf numFmtId="1" fontId="89" fillId="19" borderId="6" xfId="0" applyNumberFormat="1" applyFont="1" applyFill="1" applyBorder="1" applyAlignment="1" applyProtection="1">
      <alignment horizontal="right" vertical="center"/>
    </xf>
    <xf numFmtId="0" fontId="22" fillId="19" borderId="7" xfId="0" applyFont="1" applyFill="1" applyBorder="1" applyAlignment="1" applyProtection="1">
      <alignment horizontal="left" vertical="center"/>
    </xf>
    <xf numFmtId="1" fontId="89" fillId="19" borderId="6" xfId="0" applyNumberFormat="1" applyFont="1" applyFill="1" applyBorder="1" applyAlignment="1" applyProtection="1">
      <alignment horizontal="left" vertical="center"/>
    </xf>
    <xf numFmtId="0" fontId="34" fillId="10" borderId="8" xfId="1" applyFont="1" applyFill="1" applyBorder="1" applyAlignment="1" applyProtection="1">
      <alignment horizontal="center"/>
      <protection locked="0"/>
    </xf>
    <xf numFmtId="0" fontId="34" fillId="4" borderId="9" xfId="0" applyFont="1" applyFill="1" applyBorder="1"/>
    <xf numFmtId="0" fontId="37" fillId="4" borderId="10" xfId="1" applyFont="1" applyFill="1" applyBorder="1" applyAlignment="1" applyProtection="1">
      <alignment horizontal="right"/>
      <protection locked="0"/>
    </xf>
    <xf numFmtId="0" fontId="25" fillId="20" borderId="8" xfId="0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horizontal="center"/>
    </xf>
    <xf numFmtId="0" fontId="37" fillId="4" borderId="9" xfId="0" applyFont="1" applyFill="1" applyBorder="1"/>
    <xf numFmtId="0" fontId="37" fillId="10" borderId="8" xfId="1" applyFont="1" applyFill="1" applyBorder="1" applyAlignment="1" applyProtection="1">
      <alignment horizontal="center"/>
      <protection locked="0"/>
    </xf>
    <xf numFmtId="1" fontId="87" fillId="11" borderId="20" xfId="0" applyNumberFormat="1" applyFont="1" applyFill="1" applyBorder="1" applyAlignment="1" applyProtection="1">
      <alignment horizontal="center"/>
    </xf>
    <xf numFmtId="0" fontId="90" fillId="5" borderId="0" xfId="0" applyFont="1" applyFill="1" applyAlignment="1"/>
    <xf numFmtId="0" fontId="90" fillId="0" borderId="0" xfId="0" applyFont="1" applyFill="1" applyAlignment="1">
      <alignment horizontal="center"/>
    </xf>
    <xf numFmtId="0" fontId="90" fillId="0" borderId="0" xfId="0" applyFont="1" applyFill="1" applyAlignment="1"/>
    <xf numFmtId="0" fontId="18" fillId="13" borderId="3" xfId="0" applyFont="1" applyFill="1" applyBorder="1" applyAlignment="1" applyProtection="1">
      <alignment horizontal="center" vertical="center" wrapText="1"/>
    </xf>
    <xf numFmtId="0" fontId="0" fillId="12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91" fillId="0" borderId="0" xfId="0" applyFont="1" applyFill="1" applyAlignment="1">
      <alignment horizontal="left"/>
    </xf>
    <xf numFmtId="0" fontId="5" fillId="0" borderId="3" xfId="0" applyFont="1" applyFill="1" applyBorder="1" applyAlignment="1"/>
    <xf numFmtId="0" fontId="18" fillId="13" borderId="51" xfId="0" applyFont="1" applyFill="1" applyBorder="1" applyAlignment="1" applyProtection="1">
      <alignment horizontal="center" vertical="center" wrapText="1"/>
    </xf>
    <xf numFmtId="0" fontId="23" fillId="5" borderId="3" xfId="0" applyFont="1" applyFill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164" fontId="0" fillId="12" borderId="0" xfId="0" applyNumberFormat="1" applyFont="1" applyFill="1" applyAlignment="1">
      <alignment horizontal="center"/>
    </xf>
    <xf numFmtId="1" fontId="0" fillId="12" borderId="0" xfId="0" applyNumberFormat="1" applyFont="1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91" fillId="0" borderId="3" xfId="0" applyFont="1" applyFill="1" applyBorder="1" applyAlignment="1">
      <alignment horizontal="center" vertical="center"/>
    </xf>
    <xf numFmtId="0" fontId="91" fillId="0" borderId="3" xfId="0" applyFont="1" applyFill="1" applyBorder="1" applyAlignment="1">
      <alignment vertical="center"/>
    </xf>
    <xf numFmtId="0" fontId="1" fillId="5" borderId="3" xfId="0" applyFont="1" applyFill="1" applyBorder="1" applyAlignment="1" applyProtection="1"/>
    <xf numFmtId="0" fontId="1" fillId="5" borderId="0" xfId="0" applyFont="1" applyFill="1" applyAlignment="1" applyProtection="1">
      <alignment horizontal="center"/>
    </xf>
    <xf numFmtId="0" fontId="73" fillId="23" borderId="14" xfId="0" applyFont="1" applyFill="1" applyBorder="1" applyAlignment="1" applyProtection="1">
      <alignment vertical="center" wrapText="1"/>
    </xf>
    <xf numFmtId="0" fontId="73" fillId="23" borderId="3" xfId="0" applyFont="1" applyFill="1" applyBorder="1" applyAlignment="1" applyProtection="1">
      <alignment vertical="center" wrapText="1"/>
    </xf>
    <xf numFmtId="0" fontId="73" fillId="23" borderId="15" xfId="0" applyFont="1" applyFill="1" applyBorder="1" applyAlignment="1" applyProtection="1">
      <alignment vertical="center" wrapText="1"/>
    </xf>
    <xf numFmtId="0" fontId="93" fillId="0" borderId="0" xfId="0" applyFont="1" applyFill="1" applyAlignment="1" applyProtection="1">
      <alignment horizontal="center"/>
    </xf>
    <xf numFmtId="0" fontId="93" fillId="0" borderId="0" xfId="0" applyFont="1" applyFill="1" applyAlignment="1"/>
    <xf numFmtId="0" fontId="1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/>
    <xf numFmtId="0" fontId="1" fillId="5" borderId="3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1" fontId="11" fillId="5" borderId="3" xfId="0" applyNumberFormat="1" applyFont="1" applyFill="1" applyBorder="1" applyAlignment="1" applyProtection="1">
      <alignment vertical="center"/>
    </xf>
    <xf numFmtId="1" fontId="73" fillId="12" borderId="5" xfId="0" applyNumberFormat="1" applyFont="1" applyFill="1" applyBorder="1" applyAlignment="1" applyProtection="1">
      <alignment vertical="center"/>
    </xf>
    <xf numFmtId="1" fontId="73" fillId="12" borderId="6" xfId="0" applyNumberFormat="1" applyFont="1" applyFill="1" applyBorder="1" applyAlignment="1" applyProtection="1">
      <alignment vertical="center"/>
    </xf>
    <xf numFmtId="1" fontId="73" fillId="12" borderId="5" xfId="0" applyNumberFormat="1" applyFont="1" applyFill="1" applyBorder="1" applyAlignment="1" applyProtection="1">
      <alignment horizontal="right" vertical="center"/>
    </xf>
    <xf numFmtId="1" fontId="73" fillId="12" borderId="6" xfId="0" applyNumberFormat="1" applyFont="1" applyFill="1" applyBorder="1" applyAlignment="1" applyProtection="1">
      <alignment horizontal="left" vertical="center"/>
    </xf>
    <xf numFmtId="0" fontId="92" fillId="22" borderId="5" xfId="0" applyFont="1" applyFill="1" applyBorder="1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50" fillId="3" borderId="25" xfId="0" applyFont="1" applyFill="1" applyBorder="1" applyAlignment="1" applyProtection="1">
      <alignment horizontal="center"/>
      <protection locked="0"/>
    </xf>
    <xf numFmtId="0" fontId="50" fillId="3" borderId="24" xfId="0" applyFont="1" applyFill="1" applyBorder="1" applyAlignment="1" applyProtection="1">
      <alignment horizontal="center"/>
      <protection locked="0"/>
    </xf>
    <xf numFmtId="0" fontId="50" fillId="3" borderId="40" xfId="0" applyFont="1" applyFill="1" applyBorder="1" applyAlignment="1" applyProtection="1">
      <alignment horizontal="center"/>
      <protection locked="0"/>
    </xf>
    <xf numFmtId="0" fontId="62" fillId="5" borderId="3" xfId="0" applyFont="1" applyFill="1" applyBorder="1" applyAlignment="1">
      <alignment wrapText="1"/>
    </xf>
    <xf numFmtId="0" fontId="50" fillId="3" borderId="33" xfId="0" applyFont="1" applyFill="1" applyBorder="1" applyAlignment="1" applyProtection="1">
      <alignment horizontal="center"/>
      <protection locked="0"/>
    </xf>
    <xf numFmtId="0" fontId="23" fillId="3" borderId="15" xfId="0" applyFont="1" applyFill="1" applyBorder="1" applyAlignment="1" applyProtection="1">
      <alignment horizontal="center" vertical="center" wrapText="1"/>
    </xf>
    <xf numFmtId="0" fontId="23" fillId="13" borderId="18" xfId="0" applyFont="1" applyFill="1" applyBorder="1" applyAlignment="1" applyProtection="1">
      <alignment horizontal="center" vertical="center" wrapText="1"/>
    </xf>
    <xf numFmtId="0" fontId="23" fillId="12" borderId="15" xfId="0" applyFont="1" applyFill="1" applyBorder="1" applyAlignment="1" applyProtection="1">
      <alignment horizontal="center" vertical="center" wrapText="1"/>
    </xf>
    <xf numFmtId="0" fontId="23" fillId="12" borderId="3" xfId="0" applyFont="1" applyFill="1" applyBorder="1" applyAlignment="1" applyProtection="1">
      <alignment horizontal="center" vertical="center" wrapText="1"/>
    </xf>
    <xf numFmtId="0" fontId="23" fillId="13" borderId="17" xfId="0" applyFont="1" applyFill="1" applyBorder="1" applyAlignment="1" applyProtection="1">
      <alignment horizontal="center" vertical="center" wrapText="1"/>
    </xf>
    <xf numFmtId="0" fontId="0" fillId="25" borderId="0" xfId="0" applyFont="1" applyFill="1" applyAlignment="1"/>
    <xf numFmtId="0" fontId="24" fillId="25" borderId="3" xfId="0" applyFont="1" applyFill="1" applyBorder="1" applyAlignment="1">
      <alignment vertical="top" wrapText="1"/>
    </xf>
    <xf numFmtId="0" fontId="23" fillId="3" borderId="15" xfId="0" applyFont="1" applyFill="1" applyBorder="1" applyAlignment="1" applyProtection="1">
      <alignment horizontal="center" vertical="center" wrapText="1"/>
    </xf>
    <xf numFmtId="0" fontId="0" fillId="5" borderId="14" xfId="0" applyFont="1" applyFill="1" applyBorder="1" applyAlignment="1" applyProtection="1">
      <alignment horizontal="center"/>
    </xf>
    <xf numFmtId="0" fontId="0" fillId="5" borderId="15" xfId="0" applyFont="1" applyFill="1" applyBorder="1" applyAlignment="1" applyProtection="1">
      <alignment horizontal="center"/>
    </xf>
    <xf numFmtId="0" fontId="23" fillId="3" borderId="3" xfId="0" applyFont="1" applyFill="1" applyBorder="1" applyAlignment="1" applyProtection="1">
      <alignment horizontal="center" vertical="center" wrapText="1"/>
    </xf>
    <xf numFmtId="0" fontId="36" fillId="5" borderId="3" xfId="0" applyFont="1" applyFill="1" applyBorder="1" applyAlignment="1" applyProtection="1">
      <alignment horizontal="center"/>
      <protection locked="0"/>
    </xf>
    <xf numFmtId="0" fontId="25" fillId="5" borderId="3" xfId="0" applyFont="1" applyFill="1" applyBorder="1" applyAlignment="1">
      <alignment horizontal="right"/>
    </xf>
    <xf numFmtId="0" fontId="71" fillId="5" borderId="3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 applyProtection="1">
      <alignment horizontal="center"/>
    </xf>
    <xf numFmtId="0" fontId="11" fillId="10" borderId="12" xfId="0" applyFont="1" applyFill="1" applyBorder="1" applyAlignment="1" applyProtection="1">
      <alignment horizontal="center"/>
    </xf>
    <xf numFmtId="0" fontId="11" fillId="10" borderId="13" xfId="0" applyFont="1" applyFill="1" applyBorder="1" applyAlignment="1" applyProtection="1">
      <alignment horizontal="center"/>
    </xf>
    <xf numFmtId="0" fontId="69" fillId="10" borderId="14" xfId="1" applyFont="1" applyFill="1" applyBorder="1" applyAlignment="1" applyProtection="1">
      <alignment horizontal="center"/>
      <protection locked="0"/>
    </xf>
    <xf numFmtId="0" fontId="69" fillId="10" borderId="3" xfId="1" applyFont="1" applyFill="1" applyBorder="1" applyAlignment="1" applyProtection="1">
      <alignment horizontal="center"/>
      <protection locked="0"/>
    </xf>
    <xf numFmtId="0" fontId="69" fillId="10" borderId="15" xfId="1" applyFont="1" applyFill="1" applyBorder="1" applyAlignment="1" applyProtection="1">
      <alignment horizontal="center"/>
      <protection locked="0"/>
    </xf>
    <xf numFmtId="0" fontId="69" fillId="10" borderId="16" xfId="1" applyFont="1" applyFill="1" applyBorder="1" applyAlignment="1" applyProtection="1">
      <alignment horizontal="center" wrapText="1"/>
      <protection locked="0"/>
    </xf>
    <xf numFmtId="0" fontId="69" fillId="10" borderId="17" xfId="1" applyFont="1" applyFill="1" applyBorder="1" applyAlignment="1" applyProtection="1">
      <alignment horizontal="center" wrapText="1"/>
      <protection locked="0"/>
    </xf>
    <xf numFmtId="0" fontId="69" fillId="10" borderId="18" xfId="1" applyFont="1" applyFill="1" applyBorder="1" applyAlignment="1" applyProtection="1">
      <alignment horizontal="center" wrapText="1"/>
      <protection locked="0"/>
    </xf>
    <xf numFmtId="0" fontId="15" fillId="9" borderId="32" xfId="0" applyFont="1" applyFill="1" applyBorder="1" applyAlignment="1">
      <alignment horizontal="center" wrapText="1"/>
    </xf>
    <xf numFmtId="0" fontId="15" fillId="9" borderId="33" xfId="0" applyFont="1" applyFill="1" applyBorder="1" applyAlignment="1">
      <alignment horizontal="center" wrapText="1"/>
    </xf>
    <xf numFmtId="0" fontId="15" fillId="10" borderId="5" xfId="0" applyFont="1" applyFill="1" applyBorder="1" applyAlignment="1">
      <alignment horizontal="center" wrapText="1"/>
    </xf>
    <xf numFmtId="0" fontId="15" fillId="10" borderId="12" xfId="0" applyFont="1" applyFill="1" applyBorder="1" applyAlignment="1">
      <alignment horizontal="center" wrapText="1"/>
    </xf>
    <xf numFmtId="0" fontId="15" fillId="10" borderId="13" xfId="0" applyFont="1" applyFill="1" applyBorder="1" applyAlignment="1">
      <alignment horizont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55" fillId="9" borderId="11" xfId="0" applyFont="1" applyFill="1" applyBorder="1" applyAlignment="1">
      <alignment horizontal="center" vertical="center" wrapText="1"/>
    </xf>
    <xf numFmtId="0" fontId="55" fillId="9" borderId="3" xfId="0" applyFont="1" applyFill="1" applyBorder="1" applyAlignment="1">
      <alignment horizontal="center" vertical="center" wrapText="1"/>
    </xf>
    <xf numFmtId="0" fontId="55" fillId="9" borderId="15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wrapText="1"/>
    </xf>
    <xf numFmtId="0" fontId="64" fillId="13" borderId="42" xfId="0" applyFont="1" applyFill="1" applyBorder="1" applyAlignment="1">
      <alignment horizontal="center"/>
    </xf>
    <xf numFmtId="0" fontId="64" fillId="13" borderId="43" xfId="0" applyFont="1" applyFill="1" applyBorder="1" applyAlignment="1">
      <alignment horizontal="center"/>
    </xf>
    <xf numFmtId="0" fontId="45" fillId="14" borderId="52" xfId="0" applyFont="1" applyFill="1" applyBorder="1" applyAlignment="1">
      <alignment horizontal="center" vertical="center" wrapText="1"/>
    </xf>
    <xf numFmtId="0" fontId="45" fillId="14" borderId="53" xfId="0" applyFont="1" applyFill="1" applyBorder="1" applyAlignment="1">
      <alignment horizontal="center" vertical="center" wrapText="1"/>
    </xf>
    <xf numFmtId="0" fontId="59" fillId="7" borderId="52" xfId="0" applyFont="1" applyFill="1" applyBorder="1" applyAlignment="1" applyProtection="1">
      <alignment horizontal="center" vertical="center" wrapText="1"/>
      <protection locked="0"/>
    </xf>
    <xf numFmtId="0" fontId="59" fillId="7" borderId="53" xfId="0" applyFont="1" applyFill="1" applyBorder="1" applyAlignment="1" applyProtection="1">
      <alignment horizontal="center" vertical="center" wrapText="1"/>
      <protection locked="0"/>
    </xf>
    <xf numFmtId="0" fontId="61" fillId="17" borderId="5" xfId="0" applyFont="1" applyFill="1" applyBorder="1" applyAlignment="1" applyProtection="1">
      <alignment horizontal="center"/>
    </xf>
    <xf numFmtId="0" fontId="61" fillId="17" borderId="6" xfId="0" applyFont="1" applyFill="1" applyBorder="1" applyAlignment="1" applyProtection="1">
      <alignment horizontal="center"/>
    </xf>
    <xf numFmtId="0" fontId="61" fillId="17" borderId="7" xfId="0" applyFont="1" applyFill="1" applyBorder="1" applyAlignment="1" applyProtection="1">
      <alignment horizontal="center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wrapText="1"/>
    </xf>
    <xf numFmtId="0" fontId="13" fillId="9" borderId="6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wrapText="1"/>
    </xf>
    <xf numFmtId="0" fontId="54" fillId="11" borderId="24" xfId="0" applyFont="1" applyFill="1" applyBorder="1" applyAlignment="1">
      <alignment horizontal="center"/>
    </xf>
    <xf numFmtId="0" fontId="54" fillId="11" borderId="4" xfId="0" applyFont="1" applyFill="1" applyBorder="1" applyAlignment="1">
      <alignment horizontal="center"/>
    </xf>
    <xf numFmtId="0" fontId="54" fillId="11" borderId="25" xfId="0" applyFont="1" applyFill="1" applyBorder="1" applyAlignment="1">
      <alignment horizontal="center"/>
    </xf>
    <xf numFmtId="0" fontId="52" fillId="11" borderId="5" xfId="0" applyFont="1" applyFill="1" applyBorder="1" applyAlignment="1" applyProtection="1">
      <alignment horizontal="center"/>
    </xf>
    <xf numFmtId="0" fontId="52" fillId="11" borderId="7" xfId="0" applyFont="1" applyFill="1" applyBorder="1" applyAlignment="1" applyProtection="1">
      <alignment horizontal="center"/>
    </xf>
    <xf numFmtId="0" fontId="13" fillId="13" borderId="48" xfId="0" applyFont="1" applyFill="1" applyBorder="1" applyAlignment="1">
      <alignment horizontal="center" vertical="center" wrapText="1"/>
    </xf>
    <xf numFmtId="0" fontId="13" fillId="13" borderId="49" xfId="0" applyFont="1" applyFill="1" applyBorder="1" applyAlignment="1">
      <alignment horizontal="center" vertical="center" wrapText="1"/>
    </xf>
    <xf numFmtId="0" fontId="68" fillId="16" borderId="5" xfId="0" applyFont="1" applyFill="1" applyBorder="1" applyAlignment="1" applyProtection="1">
      <alignment horizontal="center" vertical="center" wrapText="1"/>
    </xf>
    <xf numFmtId="0" fontId="68" fillId="16" borderId="6" xfId="0" applyFont="1" applyFill="1" applyBorder="1" applyAlignment="1" applyProtection="1">
      <alignment horizontal="center" vertical="center" wrapText="1"/>
    </xf>
    <xf numFmtId="0" fontId="68" fillId="16" borderId="7" xfId="0" applyFont="1" applyFill="1" applyBorder="1" applyAlignment="1" applyProtection="1">
      <alignment horizontal="center" vertical="center" wrapText="1"/>
    </xf>
    <xf numFmtId="0" fontId="61" fillId="17" borderId="17" xfId="0" applyFont="1" applyFill="1" applyBorder="1" applyAlignment="1" applyProtection="1">
      <alignment horizontal="center"/>
    </xf>
    <xf numFmtId="0" fontId="61" fillId="17" borderId="18" xfId="0" applyFont="1" applyFill="1" applyBorder="1" applyAlignment="1" applyProtection="1">
      <alignment horizontal="center"/>
    </xf>
    <xf numFmtId="0" fontId="18" fillId="13" borderId="115" xfId="0" applyFont="1" applyFill="1" applyBorder="1" applyAlignment="1" applyProtection="1">
      <alignment horizontal="center" vertical="center" wrapText="1"/>
    </xf>
    <xf numFmtId="0" fontId="13" fillId="13" borderId="81" xfId="0" applyFont="1" applyFill="1" applyBorder="1" applyAlignment="1">
      <alignment horizontal="center" vertical="center" wrapText="1"/>
    </xf>
    <xf numFmtId="0" fontId="13" fillId="9" borderId="110" xfId="0" applyFont="1" applyFill="1" applyBorder="1" applyAlignment="1">
      <alignment horizontal="center" vertical="center" wrapText="1"/>
    </xf>
    <xf numFmtId="0" fontId="61" fillId="17" borderId="16" xfId="0" applyFont="1" applyFill="1" applyBorder="1" applyAlignment="1" applyProtection="1">
      <alignment horizontal="center"/>
    </xf>
    <xf numFmtId="0" fontId="61" fillId="17" borderId="14" xfId="0" applyFont="1" applyFill="1" applyBorder="1" applyAlignment="1" applyProtection="1">
      <alignment horizontal="center"/>
    </xf>
    <xf numFmtId="0" fontId="61" fillId="17" borderId="113" xfId="0" applyFont="1" applyFill="1" applyBorder="1" applyAlignment="1" applyProtection="1">
      <alignment horizontal="center"/>
    </xf>
    <xf numFmtId="0" fontId="52" fillId="19" borderId="5" xfId="0" applyFont="1" applyFill="1" applyBorder="1" applyAlignment="1" applyProtection="1">
      <alignment horizontal="center" vertical="center" wrapText="1"/>
    </xf>
    <xf numFmtId="0" fontId="52" fillId="19" borderId="6" xfId="0" applyFont="1" applyFill="1" applyBorder="1" applyAlignment="1" applyProtection="1">
      <alignment horizontal="center" vertical="center" wrapText="1"/>
    </xf>
    <xf numFmtId="0" fontId="52" fillId="19" borderId="7" xfId="0" applyFont="1" applyFill="1" applyBorder="1" applyAlignment="1" applyProtection="1">
      <alignment horizontal="center" vertical="center" wrapText="1"/>
    </xf>
    <xf numFmtId="0" fontId="13" fillId="9" borderId="106" xfId="0" applyFont="1" applyFill="1" applyBorder="1" applyAlignment="1">
      <alignment horizontal="center" vertical="center" wrapText="1"/>
    </xf>
    <xf numFmtId="0" fontId="71" fillId="5" borderId="17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30" fillId="11" borderId="45" xfId="0" applyFont="1" applyFill="1" applyBorder="1" applyAlignment="1">
      <alignment horizontal="left" vertical="center" wrapText="1"/>
    </xf>
    <xf numFmtId="0" fontId="30" fillId="11" borderId="22" xfId="0" applyFont="1" applyFill="1" applyBorder="1" applyAlignment="1">
      <alignment horizontal="left" vertical="center" wrapText="1"/>
    </xf>
    <xf numFmtId="0" fontId="30" fillId="11" borderId="50" xfId="0" applyFont="1" applyFill="1" applyBorder="1" applyAlignment="1">
      <alignment horizontal="left" vertical="center" wrapText="1"/>
    </xf>
    <xf numFmtId="0" fontId="0" fillId="18" borderId="3" xfId="0" applyFont="1" applyFill="1" applyBorder="1" applyAlignment="1">
      <alignment horizontal="center"/>
    </xf>
    <xf numFmtId="0" fontId="0" fillId="18" borderId="15" xfId="0" applyFont="1" applyFill="1" applyBorder="1" applyAlignment="1">
      <alignment horizontal="center"/>
    </xf>
    <xf numFmtId="0" fontId="0" fillId="18" borderId="0" xfId="0" applyFont="1" applyFill="1" applyAlignment="1">
      <alignment horizontal="center"/>
    </xf>
    <xf numFmtId="0" fontId="30" fillId="11" borderId="19" xfId="0" applyFont="1" applyFill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32" fillId="13" borderId="21" xfId="0" applyFont="1" applyFill="1" applyBorder="1" applyAlignment="1">
      <alignment horizontal="center"/>
    </xf>
    <xf numFmtId="0" fontId="24" fillId="13" borderId="21" xfId="0" applyFont="1" applyFill="1" applyBorder="1" applyAlignment="1">
      <alignment horizontal="center"/>
    </xf>
    <xf numFmtId="0" fontId="24" fillId="13" borderId="34" xfId="0" applyFont="1" applyFill="1" applyBorder="1" applyAlignment="1">
      <alignment horizont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3" fillId="13" borderId="36" xfId="0" applyFont="1" applyFill="1" applyBorder="1" applyAlignment="1">
      <alignment horizontal="center" vertical="center" wrapText="1"/>
    </xf>
    <xf numFmtId="0" fontId="32" fillId="6" borderId="45" xfId="0" applyFont="1" applyFill="1" applyBorder="1" applyAlignment="1">
      <alignment horizontal="left" vertical="center" wrapText="1"/>
    </xf>
    <xf numFmtId="0" fontId="32" fillId="6" borderId="22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13" borderId="4" xfId="0" applyFont="1" applyFill="1" applyBorder="1" applyAlignment="1">
      <alignment horizontal="center"/>
    </xf>
    <xf numFmtId="0" fontId="32" fillId="13" borderId="27" xfId="0" applyFont="1" applyFill="1" applyBorder="1" applyAlignment="1">
      <alignment horizontal="center"/>
    </xf>
    <xf numFmtId="0" fontId="32" fillId="13" borderId="22" xfId="0" applyFont="1" applyFill="1" applyBorder="1" applyAlignment="1">
      <alignment horizontal="center"/>
    </xf>
    <xf numFmtId="0" fontId="32" fillId="13" borderId="50" xfId="0" applyFont="1" applyFill="1" applyBorder="1" applyAlignment="1">
      <alignment horizontal="center"/>
    </xf>
    <xf numFmtId="0" fontId="33" fillId="13" borderId="27" xfId="0" applyFont="1" applyFill="1" applyBorder="1" applyAlignment="1">
      <alignment horizontal="center"/>
    </xf>
    <xf numFmtId="0" fontId="33" fillId="13" borderId="22" xfId="0" applyFont="1" applyFill="1" applyBorder="1" applyAlignment="1">
      <alignment horizontal="center"/>
    </xf>
    <xf numFmtId="0" fontId="33" fillId="13" borderId="50" xfId="0" applyFont="1" applyFill="1" applyBorder="1" applyAlignment="1">
      <alignment horizontal="center"/>
    </xf>
    <xf numFmtId="0" fontId="30" fillId="11" borderId="19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/>
    </xf>
    <xf numFmtId="0" fontId="44" fillId="11" borderId="36" xfId="0" applyFont="1" applyFill="1" applyBorder="1" applyAlignment="1">
      <alignment horizontal="right"/>
    </xf>
    <xf numFmtId="0" fontId="11" fillId="10" borderId="32" xfId="0" applyFont="1" applyFill="1" applyBorder="1" applyAlignment="1">
      <alignment horizontal="center" vertical="center" wrapText="1"/>
    </xf>
    <xf numFmtId="0" fontId="9" fillId="10" borderId="35" xfId="0" applyFont="1" applyFill="1" applyBorder="1"/>
    <xf numFmtId="0" fontId="9" fillId="10" borderId="33" xfId="0" applyFont="1" applyFill="1" applyBorder="1"/>
    <xf numFmtId="0" fontId="11" fillId="14" borderId="32" xfId="0" applyFont="1" applyFill="1" applyBorder="1" applyAlignment="1">
      <alignment horizontal="center" vertical="center" wrapText="1"/>
    </xf>
    <xf numFmtId="0" fontId="9" fillId="14" borderId="35" xfId="0" applyFont="1" applyFill="1" applyBorder="1"/>
    <xf numFmtId="0" fontId="9" fillId="14" borderId="33" xfId="0" applyFont="1" applyFill="1" applyBorder="1"/>
    <xf numFmtId="0" fontId="19" fillId="13" borderId="36" xfId="0" applyFont="1" applyFill="1" applyBorder="1" applyAlignment="1">
      <alignment horizontal="center" vertical="center" wrapText="1"/>
    </xf>
    <xf numFmtId="0" fontId="9" fillId="13" borderId="36" xfId="0" applyFont="1" applyFill="1" applyBorder="1" applyAlignment="1">
      <alignment horizont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11" fillId="10" borderId="35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8" fillId="13" borderId="36" xfId="0" applyFont="1" applyFill="1" applyBorder="1" applyAlignment="1">
      <alignment horizontal="center" vertical="center" wrapText="1"/>
    </xf>
    <xf numFmtId="0" fontId="72" fillId="5" borderId="0" xfId="0" applyFont="1" applyFill="1" applyAlignment="1">
      <alignment horizontal="center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50" fillId="0" borderId="46" xfId="0" applyFont="1" applyFill="1" applyBorder="1" applyAlignment="1" applyProtection="1">
      <alignment horizontal="center"/>
    </xf>
    <xf numFmtId="0" fontId="50" fillId="0" borderId="67" xfId="0" applyFont="1" applyFill="1" applyBorder="1" applyAlignment="1" applyProtection="1">
      <alignment horizontal="center"/>
    </xf>
    <xf numFmtId="0" fontId="50" fillId="0" borderId="23" xfId="0" applyFont="1" applyFill="1" applyBorder="1" applyAlignment="1" applyProtection="1">
      <alignment horizontal="center"/>
    </xf>
    <xf numFmtId="0" fontId="48" fillId="6" borderId="46" xfId="0" applyFont="1" applyFill="1" applyBorder="1" applyAlignment="1" applyProtection="1">
      <alignment horizontal="center" vertical="center"/>
    </xf>
    <xf numFmtId="0" fontId="48" fillId="6" borderId="67" xfId="0" applyFont="1" applyFill="1" applyBorder="1" applyAlignment="1" applyProtection="1">
      <alignment horizontal="center" vertical="center"/>
    </xf>
    <xf numFmtId="0" fontId="48" fillId="6" borderId="23" xfId="0" applyFont="1" applyFill="1" applyBorder="1" applyAlignment="1" applyProtection="1">
      <alignment horizontal="center" vertical="center"/>
    </xf>
    <xf numFmtId="0" fontId="50" fillId="3" borderId="25" xfId="0" applyFont="1" applyFill="1" applyBorder="1" applyAlignment="1" applyProtection="1">
      <alignment horizontal="center"/>
      <protection locked="0"/>
    </xf>
    <xf numFmtId="0" fontId="50" fillId="3" borderId="63" xfId="0" applyFont="1" applyFill="1" applyBorder="1" applyAlignment="1" applyProtection="1">
      <alignment horizontal="center"/>
      <protection locked="0"/>
    </xf>
    <xf numFmtId="0" fontId="50" fillId="3" borderId="24" xfId="0" applyFont="1" applyFill="1" applyBorder="1" applyAlignment="1" applyProtection="1">
      <alignment horizontal="center"/>
      <protection locked="0"/>
    </xf>
    <xf numFmtId="0" fontId="50" fillId="3" borderId="47" xfId="0" applyFont="1" applyFill="1" applyBorder="1" applyAlignment="1" applyProtection="1">
      <alignment horizontal="center"/>
      <protection locked="0"/>
    </xf>
    <xf numFmtId="0" fontId="50" fillId="3" borderId="68" xfId="0" applyFont="1" applyFill="1" applyBorder="1" applyAlignment="1" applyProtection="1">
      <alignment horizontal="center"/>
      <protection locked="0"/>
    </xf>
    <xf numFmtId="0" fontId="50" fillId="3" borderId="40" xfId="0" applyFont="1" applyFill="1" applyBorder="1" applyAlignment="1" applyProtection="1">
      <alignment horizontal="center"/>
      <protection locked="0"/>
    </xf>
    <xf numFmtId="0" fontId="40" fillId="6" borderId="25" xfId="0" applyFont="1" applyFill="1" applyBorder="1" applyAlignment="1" applyProtection="1">
      <alignment horizontal="center" vertical="center" wrapText="1"/>
    </xf>
    <xf numFmtId="0" fontId="40" fillId="6" borderId="63" xfId="0" applyFont="1" applyFill="1" applyBorder="1" applyAlignment="1" applyProtection="1">
      <alignment horizontal="center" vertical="center" wrapText="1"/>
    </xf>
    <xf numFmtId="0" fontId="40" fillId="6" borderId="24" xfId="0" applyFont="1" applyFill="1" applyBorder="1" applyAlignment="1" applyProtection="1">
      <alignment horizontal="center" vertical="center" wrapText="1"/>
    </xf>
    <xf numFmtId="0" fontId="48" fillId="6" borderId="25" xfId="0" applyFont="1" applyFill="1" applyBorder="1" applyAlignment="1" applyProtection="1">
      <alignment horizontal="center" vertical="center" wrapText="1"/>
    </xf>
    <xf numFmtId="0" fontId="48" fillId="6" borderId="63" xfId="0" applyFont="1" applyFill="1" applyBorder="1" applyAlignment="1" applyProtection="1">
      <alignment horizontal="center" vertical="center" wrapText="1"/>
    </xf>
    <xf numFmtId="0" fontId="48" fillId="6" borderId="24" xfId="0" applyFont="1" applyFill="1" applyBorder="1" applyAlignment="1" applyProtection="1">
      <alignment horizontal="center" vertical="center" wrapText="1"/>
    </xf>
    <xf numFmtId="0" fontId="71" fillId="5" borderId="17" xfId="0" applyFont="1" applyFill="1" applyBorder="1" applyAlignment="1">
      <alignment horizontal="center"/>
    </xf>
    <xf numFmtId="0" fontId="8" fillId="0" borderId="16" xfId="1" applyBorder="1" applyAlignment="1">
      <alignment horizontal="center"/>
    </xf>
    <xf numFmtId="0" fontId="8" fillId="0" borderId="17" xfId="1" applyBorder="1" applyAlignment="1">
      <alignment horizontal="center"/>
    </xf>
    <xf numFmtId="0" fontId="8" fillId="0" borderId="18" xfId="1" applyBorder="1" applyAlignment="1">
      <alignment horizontal="center"/>
    </xf>
    <xf numFmtId="0" fontId="58" fillId="10" borderId="11" xfId="0" applyFont="1" applyFill="1" applyBorder="1" applyAlignment="1" applyProtection="1">
      <alignment horizontal="center"/>
    </xf>
    <xf numFmtId="0" fontId="58" fillId="10" borderId="12" xfId="0" applyFont="1" applyFill="1" applyBorder="1" applyAlignment="1" applyProtection="1">
      <alignment horizontal="center"/>
    </xf>
    <xf numFmtId="0" fontId="58" fillId="10" borderId="13" xfId="0" applyFont="1" applyFill="1" applyBorder="1" applyAlignment="1" applyProtection="1">
      <alignment horizontal="center"/>
    </xf>
    <xf numFmtId="0" fontId="76" fillId="11" borderId="65" xfId="0" applyFont="1" applyFill="1" applyBorder="1" applyAlignment="1">
      <alignment horizontal="center" vertical="center"/>
    </xf>
    <xf numFmtId="0" fontId="76" fillId="11" borderId="2" xfId="0" applyFont="1" applyFill="1" applyBorder="1" applyAlignment="1">
      <alignment horizontal="center" vertical="center"/>
    </xf>
    <xf numFmtId="0" fontId="76" fillId="11" borderId="87" xfId="0" applyFont="1" applyFill="1" applyBorder="1" applyAlignment="1">
      <alignment horizontal="center" vertical="center"/>
    </xf>
    <xf numFmtId="0" fontId="11" fillId="9" borderId="5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11" fillId="9" borderId="7" xfId="0" applyFont="1" applyFill="1" applyBorder="1" applyAlignment="1" applyProtection="1">
      <alignment horizontal="center"/>
    </xf>
    <xf numFmtId="0" fontId="76" fillId="19" borderId="65" xfId="0" applyFont="1" applyFill="1" applyBorder="1" applyAlignment="1">
      <alignment horizontal="center" vertical="center"/>
    </xf>
    <xf numFmtId="0" fontId="76" fillId="19" borderId="2" xfId="0" applyFont="1" applyFill="1" applyBorder="1" applyAlignment="1">
      <alignment horizontal="center" vertical="center"/>
    </xf>
    <xf numFmtId="0" fontId="76" fillId="19" borderId="87" xfId="0" applyFont="1" applyFill="1" applyBorder="1" applyAlignment="1">
      <alignment horizontal="center" vertical="center"/>
    </xf>
    <xf numFmtId="0" fontId="11" fillId="10" borderId="5" xfId="0" applyFont="1" applyFill="1" applyBorder="1" applyAlignment="1" applyProtection="1">
      <alignment horizontal="center"/>
    </xf>
    <xf numFmtId="0" fontId="11" fillId="10" borderId="6" xfId="0" applyFont="1" applyFill="1" applyBorder="1" applyAlignment="1" applyProtection="1">
      <alignment horizontal="center"/>
    </xf>
    <xf numFmtId="0" fontId="11" fillId="10" borderId="7" xfId="0" applyFont="1" applyFill="1" applyBorder="1" applyAlignment="1" applyProtection="1">
      <alignment horizontal="center"/>
    </xf>
    <xf numFmtId="0" fontId="11" fillId="9" borderId="5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7" xfId="0" applyFont="1" applyFill="1" applyBorder="1" applyAlignment="1" applyProtection="1">
      <alignment horizontal="center" vertical="center"/>
    </xf>
    <xf numFmtId="0" fontId="76" fillId="16" borderId="5" xfId="0" applyFont="1" applyFill="1" applyBorder="1" applyAlignment="1" applyProtection="1">
      <alignment horizontal="center" vertical="center" wrapText="1"/>
    </xf>
    <xf numFmtId="0" fontId="57" fillId="16" borderId="6" xfId="0" applyFont="1" applyFill="1" applyBorder="1" applyAlignment="1" applyProtection="1">
      <alignment horizontal="center" vertical="center" wrapText="1"/>
    </xf>
    <xf numFmtId="0" fontId="57" fillId="16" borderId="7" xfId="0" applyFont="1" applyFill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75" fillId="3" borderId="5" xfId="0" applyFont="1" applyFill="1" applyBorder="1" applyAlignment="1">
      <alignment horizontal="center" vertical="center"/>
    </xf>
    <xf numFmtId="0" fontId="75" fillId="3" borderId="6" xfId="0" applyFont="1" applyFill="1" applyBorder="1" applyAlignment="1">
      <alignment horizontal="center" vertical="center"/>
    </xf>
    <xf numFmtId="0" fontId="75" fillId="3" borderId="7" xfId="0" applyFont="1" applyFill="1" applyBorder="1" applyAlignment="1">
      <alignment horizontal="center" vertical="center"/>
    </xf>
    <xf numFmtId="0" fontId="92" fillId="22" borderId="12" xfId="0" applyFont="1" applyFill="1" applyBorder="1" applyAlignment="1" applyProtection="1">
      <alignment horizontal="center" vertical="center" wrapText="1"/>
    </xf>
    <xf numFmtId="0" fontId="92" fillId="22" borderId="13" xfId="0" applyFont="1" applyFill="1" applyBorder="1" applyAlignment="1" applyProtection="1">
      <alignment horizontal="center" vertical="center" wrapText="1"/>
    </xf>
    <xf numFmtId="0" fontId="91" fillId="21" borderId="3" xfId="0" applyFont="1" applyFill="1" applyBorder="1" applyAlignment="1" applyProtection="1">
      <alignment horizontal="center" vertical="center" wrapText="1"/>
    </xf>
    <xf numFmtId="0" fontId="91" fillId="21" borderId="15" xfId="0" applyFont="1" applyFill="1" applyBorder="1" applyAlignment="1" applyProtection="1">
      <alignment horizontal="center" vertical="center" wrapText="1"/>
    </xf>
    <xf numFmtId="0" fontId="91" fillId="12" borderId="14" xfId="0" applyNumberFormat="1" applyFont="1" applyFill="1" applyBorder="1" applyAlignment="1" applyProtection="1">
      <alignment horizontal="center" vertical="center" wrapText="1"/>
    </xf>
    <xf numFmtId="0" fontId="91" fillId="12" borderId="3" xfId="0" applyNumberFormat="1" applyFont="1" applyFill="1" applyBorder="1" applyAlignment="1" applyProtection="1">
      <alignment horizontal="center" vertical="center" wrapText="1"/>
    </xf>
    <xf numFmtId="0" fontId="91" fillId="12" borderId="15" xfId="0" applyNumberFormat="1" applyFont="1" applyFill="1" applyBorder="1" applyAlignment="1" applyProtection="1">
      <alignment horizontal="center" vertical="center" wrapText="1"/>
    </xf>
    <xf numFmtId="0" fontId="91" fillId="13" borderId="17" xfId="0" applyFont="1" applyFill="1" applyBorder="1" applyAlignment="1" applyProtection="1">
      <alignment horizontal="center" vertical="center" wrapText="1"/>
    </xf>
    <xf numFmtId="0" fontId="91" fillId="13" borderId="18" xfId="0" applyFont="1" applyFill="1" applyBorder="1" applyAlignment="1" applyProtection="1">
      <alignment horizontal="center" vertical="center" wrapText="1"/>
    </xf>
    <xf numFmtId="0" fontId="24" fillId="5" borderId="15" xfId="0" applyFont="1" applyFill="1" applyBorder="1" applyAlignment="1">
      <alignment horizontal="center"/>
    </xf>
    <xf numFmtId="0" fontId="92" fillId="22" borderId="5" xfId="0" applyFont="1" applyFill="1" applyBorder="1" applyAlignment="1" applyProtection="1">
      <alignment horizontal="center" vertical="center" wrapText="1"/>
    </xf>
    <xf numFmtId="0" fontId="92" fillId="22" borderId="6" xfId="0" applyFont="1" applyFill="1" applyBorder="1" applyAlignment="1" applyProtection="1">
      <alignment horizontal="center" vertical="center" wrapText="1"/>
    </xf>
    <xf numFmtId="0" fontId="92" fillId="22" borderId="7" xfId="0" applyFont="1" applyFill="1" applyBorder="1" applyAlignment="1" applyProtection="1">
      <alignment horizontal="center" vertical="center" wrapText="1"/>
    </xf>
    <xf numFmtId="0" fontId="73" fillId="21" borderId="11" xfId="0" applyFont="1" applyFill="1" applyBorder="1" applyAlignment="1" applyProtection="1">
      <alignment horizontal="center" vertical="center" wrapText="1"/>
    </xf>
    <xf numFmtId="0" fontId="73" fillId="21" borderId="12" xfId="0" applyFont="1" applyFill="1" applyBorder="1" applyAlignment="1" applyProtection="1">
      <alignment horizontal="center" vertical="center" wrapText="1"/>
    </xf>
    <xf numFmtId="0" fontId="73" fillId="21" borderId="13" xfId="0" applyFont="1" applyFill="1" applyBorder="1" applyAlignment="1" applyProtection="1">
      <alignment horizontal="center" vertical="center" wrapText="1"/>
    </xf>
    <xf numFmtId="0" fontId="73" fillId="12" borderId="14" xfId="0" applyFont="1" applyFill="1" applyBorder="1" applyAlignment="1" applyProtection="1">
      <alignment horizontal="center" vertical="center" wrapText="1"/>
    </xf>
    <xf numFmtId="0" fontId="73" fillId="12" borderId="3" xfId="0" applyFont="1" applyFill="1" applyBorder="1" applyAlignment="1" applyProtection="1">
      <alignment horizontal="center" vertical="center" wrapText="1"/>
    </xf>
    <xf numFmtId="0" fontId="73" fillId="12" borderId="15" xfId="0" applyFont="1" applyFill="1" applyBorder="1" applyAlignment="1" applyProtection="1">
      <alignment horizontal="center" vertical="center" wrapText="1"/>
    </xf>
    <xf numFmtId="0" fontId="73" fillId="13" borderId="16" xfId="0" applyFont="1" applyFill="1" applyBorder="1" applyAlignment="1" applyProtection="1">
      <alignment horizontal="center" vertical="center" wrapText="1"/>
    </xf>
    <xf numFmtId="0" fontId="73" fillId="13" borderId="17" xfId="0" applyFont="1" applyFill="1" applyBorder="1" applyAlignment="1" applyProtection="1">
      <alignment horizontal="center" vertical="center" wrapText="1"/>
    </xf>
    <xf numFmtId="0" fontId="73" fillId="13" borderId="18" xfId="0" applyFont="1" applyFill="1" applyBorder="1" applyAlignment="1" applyProtection="1">
      <alignment horizontal="center" vertical="center" wrapText="1"/>
    </xf>
    <xf numFmtId="0" fontId="45" fillId="22" borderId="12" xfId="0" applyFont="1" applyFill="1" applyBorder="1" applyAlignment="1" applyProtection="1">
      <alignment horizontal="center" vertical="center" wrapText="1"/>
    </xf>
    <xf numFmtId="0" fontId="45" fillId="22" borderId="13" xfId="0" applyFont="1" applyFill="1" applyBorder="1" applyAlignment="1" applyProtection="1">
      <alignment horizontal="center" vertical="center" wrapText="1"/>
    </xf>
    <xf numFmtId="0" fontId="73" fillId="21" borderId="14" xfId="0" applyFont="1" applyFill="1" applyBorder="1" applyAlignment="1" applyProtection="1">
      <alignment horizontal="center" vertical="center" wrapText="1"/>
    </xf>
    <xf numFmtId="0" fontId="73" fillId="21" borderId="3" xfId="0" applyFont="1" applyFill="1" applyBorder="1" applyAlignment="1" applyProtection="1">
      <alignment horizontal="center" vertical="center" wrapText="1"/>
    </xf>
    <xf numFmtId="0" fontId="73" fillId="21" borderId="15" xfId="0" applyFont="1" applyFill="1" applyBorder="1" applyAlignment="1" applyProtection="1">
      <alignment horizontal="center" vertical="center" wrapText="1"/>
    </xf>
    <xf numFmtId="0" fontId="11" fillId="22" borderId="11" xfId="0" applyFont="1" applyFill="1" applyBorder="1" applyAlignment="1" applyProtection="1">
      <alignment horizontal="center" vertical="center"/>
    </xf>
    <xf numFmtId="0" fontId="11" fillId="22" borderId="12" xfId="0" applyFont="1" applyFill="1" applyBorder="1" applyAlignment="1" applyProtection="1">
      <alignment horizontal="center" vertical="center"/>
    </xf>
    <xf numFmtId="0" fontId="11" fillId="22" borderId="13" xfId="0" applyFont="1" applyFill="1" applyBorder="1" applyAlignment="1" applyProtection="1">
      <alignment horizontal="center" vertical="center"/>
    </xf>
    <xf numFmtId="0" fontId="22" fillId="21" borderId="14" xfId="0" applyFont="1" applyFill="1" applyBorder="1" applyAlignment="1" applyProtection="1">
      <alignment horizontal="left" vertical="center" wrapText="1"/>
    </xf>
    <xf numFmtId="0" fontId="22" fillId="21" borderId="3" xfId="0" applyFont="1" applyFill="1" applyBorder="1" applyAlignment="1" applyProtection="1">
      <alignment horizontal="left" vertical="center" wrapText="1"/>
    </xf>
    <xf numFmtId="0" fontId="19" fillId="9" borderId="5" xfId="0" applyFont="1" applyFill="1" applyBorder="1" applyAlignment="1" applyProtection="1">
      <alignment horizontal="center" vertical="center" wrapText="1"/>
    </xf>
    <xf numFmtId="0" fontId="19" fillId="9" borderId="6" xfId="0" applyFont="1" applyFill="1" applyBorder="1" applyAlignment="1" applyProtection="1">
      <alignment horizontal="center" vertical="center" wrapText="1"/>
    </xf>
    <xf numFmtId="0" fontId="19" fillId="9" borderId="7" xfId="0" applyFont="1" applyFill="1" applyBorder="1" applyAlignment="1" applyProtection="1">
      <alignment horizontal="center" vertical="center" wrapText="1"/>
    </xf>
    <xf numFmtId="0" fontId="33" fillId="16" borderId="5" xfId="0" applyFont="1" applyFill="1" applyBorder="1" applyAlignment="1" applyProtection="1">
      <alignment horizontal="center" vertical="center" wrapText="1"/>
    </xf>
    <xf numFmtId="0" fontId="33" fillId="16" borderId="6" xfId="0" applyFont="1" applyFill="1" applyBorder="1" applyAlignment="1" applyProtection="1">
      <alignment horizontal="center" vertical="center" wrapText="1"/>
    </xf>
    <xf numFmtId="0" fontId="33" fillId="16" borderId="7" xfId="0" applyFont="1" applyFill="1" applyBorder="1" applyAlignment="1" applyProtection="1">
      <alignment horizontal="center" vertical="center" wrapText="1"/>
    </xf>
    <xf numFmtId="0" fontId="88" fillId="0" borderId="5" xfId="0" applyFont="1" applyFill="1" applyBorder="1" applyAlignment="1" applyProtection="1">
      <alignment horizontal="center"/>
    </xf>
    <xf numFmtId="0" fontId="88" fillId="0" borderId="6" xfId="0" applyFont="1" applyFill="1" applyBorder="1" applyAlignment="1" applyProtection="1">
      <alignment horizontal="center"/>
    </xf>
    <xf numFmtId="0" fontId="88" fillId="0" borderId="7" xfId="0" applyFont="1" applyFill="1" applyBorder="1" applyAlignment="1" applyProtection="1">
      <alignment horizontal="center"/>
    </xf>
    <xf numFmtId="0" fontId="75" fillId="16" borderId="11" xfId="0" applyFont="1" applyFill="1" applyBorder="1" applyAlignment="1" applyProtection="1">
      <alignment horizontal="center" vertical="center" wrapText="1"/>
    </xf>
    <xf numFmtId="0" fontId="75" fillId="16" borderId="12" xfId="0" applyFont="1" applyFill="1" applyBorder="1" applyAlignment="1" applyProtection="1">
      <alignment horizontal="center" vertical="center" wrapText="1"/>
    </xf>
    <xf numFmtId="0" fontId="75" fillId="16" borderId="13" xfId="0" applyFont="1" applyFill="1" applyBorder="1" applyAlignment="1" applyProtection="1">
      <alignment horizontal="center" vertical="center" wrapText="1"/>
    </xf>
    <xf numFmtId="0" fontId="75" fillId="16" borderId="16" xfId="0" applyFont="1" applyFill="1" applyBorder="1" applyAlignment="1" applyProtection="1">
      <alignment horizontal="center" vertical="center" wrapText="1"/>
    </xf>
    <xf numFmtId="0" fontId="75" fillId="16" borderId="17" xfId="0" applyFont="1" applyFill="1" applyBorder="1" applyAlignment="1" applyProtection="1">
      <alignment horizontal="center" vertical="center" wrapText="1"/>
    </xf>
    <xf numFmtId="0" fontId="75" fillId="16" borderId="18" xfId="0" applyFont="1" applyFill="1" applyBorder="1" applyAlignment="1" applyProtection="1">
      <alignment horizontal="center" vertical="center" wrapText="1"/>
    </xf>
    <xf numFmtId="0" fontId="73" fillId="16" borderId="11" xfId="0" applyFont="1" applyFill="1" applyBorder="1" applyAlignment="1" applyProtection="1">
      <alignment horizontal="center" vertical="center" wrapText="1"/>
    </xf>
    <xf numFmtId="0" fontId="73" fillId="16" borderId="12" xfId="0" applyFont="1" applyFill="1" applyBorder="1" applyAlignment="1" applyProtection="1">
      <alignment horizontal="center" vertical="center" wrapText="1"/>
    </xf>
    <xf numFmtId="0" fontId="73" fillId="16" borderId="13" xfId="0" applyFont="1" applyFill="1" applyBorder="1" applyAlignment="1" applyProtection="1">
      <alignment horizontal="center" vertical="center" wrapText="1"/>
    </xf>
    <xf numFmtId="0" fontId="73" fillId="16" borderId="16" xfId="0" applyFont="1" applyFill="1" applyBorder="1" applyAlignment="1" applyProtection="1">
      <alignment horizontal="center" vertical="center" wrapText="1"/>
    </xf>
    <xf numFmtId="0" fontId="73" fillId="16" borderId="17" xfId="0" applyFont="1" applyFill="1" applyBorder="1" applyAlignment="1" applyProtection="1">
      <alignment horizontal="center" vertical="center" wrapText="1"/>
    </xf>
    <xf numFmtId="0" fontId="73" fillId="16" borderId="18" xfId="0" applyFont="1" applyFill="1" applyBorder="1" applyAlignment="1" applyProtection="1">
      <alignment horizontal="center" vertical="center" wrapText="1"/>
    </xf>
    <xf numFmtId="0" fontId="33" fillId="19" borderId="5" xfId="0" applyFont="1" applyFill="1" applyBorder="1" applyAlignment="1" applyProtection="1">
      <alignment horizontal="center" vertical="center" wrapText="1"/>
    </xf>
    <xf numFmtId="0" fontId="33" fillId="19" borderId="6" xfId="0" applyFont="1" applyFill="1" applyBorder="1" applyAlignment="1" applyProtection="1">
      <alignment horizontal="center" vertical="center" wrapText="1"/>
    </xf>
    <xf numFmtId="0" fontId="33" fillId="19" borderId="7" xfId="0" applyFont="1" applyFill="1" applyBorder="1" applyAlignment="1" applyProtection="1">
      <alignment horizontal="center" vertical="center" wrapText="1"/>
    </xf>
    <xf numFmtId="0" fontId="25" fillId="9" borderId="5" xfId="0" applyFont="1" applyFill="1" applyBorder="1" applyAlignment="1" applyProtection="1">
      <alignment horizontal="center" vertical="center" wrapText="1"/>
    </xf>
    <xf numFmtId="0" fontId="25" fillId="9" borderId="6" xfId="0" applyFont="1" applyFill="1" applyBorder="1" applyAlignment="1" applyProtection="1">
      <alignment horizontal="center" vertical="center" wrapText="1"/>
    </xf>
    <xf numFmtId="0" fontId="25" fillId="9" borderId="7" xfId="0" applyFont="1" applyFill="1" applyBorder="1" applyAlignment="1" applyProtection="1">
      <alignment horizontal="center" vertical="center" wrapText="1"/>
    </xf>
    <xf numFmtId="0" fontId="11" fillId="22" borderId="0" xfId="0" applyFont="1" applyFill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110" xfId="0" applyFont="1" applyFill="1" applyBorder="1" applyAlignment="1">
      <alignment horizontal="center" vertical="center" wrapText="1"/>
    </xf>
    <xf numFmtId="0" fontId="18" fillId="9" borderId="10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73" fillId="3" borderId="5" xfId="0" applyFont="1" applyFill="1" applyBorder="1" applyAlignment="1">
      <alignment horizontal="center" vertical="center" wrapText="1"/>
    </xf>
    <xf numFmtId="0" fontId="73" fillId="3" borderId="6" xfId="0" applyFont="1" applyFill="1" applyBorder="1" applyAlignment="1">
      <alignment horizontal="center" vertical="center" wrapText="1"/>
    </xf>
    <xf numFmtId="0" fontId="73" fillId="3" borderId="7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wrapText="1"/>
    </xf>
    <xf numFmtId="0" fontId="18" fillId="9" borderId="6" xfId="0" applyFont="1" applyFill="1" applyBorder="1" applyAlignment="1">
      <alignment horizontal="center" wrapText="1"/>
    </xf>
    <xf numFmtId="0" fontId="18" fillId="9" borderId="7" xfId="0" applyFont="1" applyFill="1" applyBorder="1" applyAlignment="1">
      <alignment horizontal="center" wrapText="1"/>
    </xf>
    <xf numFmtId="0" fontId="23" fillId="21" borderId="3" xfId="0" applyFont="1" applyFill="1" applyBorder="1" applyAlignment="1" applyProtection="1">
      <alignment horizontal="center" vertical="center" wrapText="1"/>
    </xf>
    <xf numFmtId="0" fontId="23" fillId="21" borderId="15" xfId="0" applyFont="1" applyFill="1" applyBorder="1" applyAlignment="1" applyProtection="1">
      <alignment horizontal="center" vertical="center" wrapText="1"/>
    </xf>
    <xf numFmtId="0" fontId="23" fillId="12" borderId="3" xfId="0" applyFont="1" applyFill="1" applyBorder="1" applyAlignment="1" applyProtection="1">
      <alignment horizontal="center" vertical="center" wrapText="1"/>
    </xf>
    <xf numFmtId="0" fontId="23" fillId="12" borderId="15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0" fontId="23" fillId="3" borderId="15" xfId="0" applyFont="1" applyFill="1" applyBorder="1" applyAlignment="1" applyProtection="1">
      <alignment horizontal="center" vertical="center" wrapText="1"/>
    </xf>
    <xf numFmtId="0" fontId="23" fillId="13" borderId="17" xfId="0" applyFont="1" applyFill="1" applyBorder="1" applyAlignment="1" applyProtection="1">
      <alignment horizontal="center" vertical="center" wrapText="1"/>
    </xf>
    <xf numFmtId="0" fontId="23" fillId="13" borderId="18" xfId="0" applyFont="1" applyFill="1" applyBorder="1" applyAlignment="1" applyProtection="1">
      <alignment horizontal="center" vertical="center" wrapText="1"/>
    </xf>
    <xf numFmtId="0" fontId="22" fillId="7" borderId="3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2" fillId="11" borderId="15" xfId="0" applyFont="1" applyFill="1" applyBorder="1" applyAlignment="1">
      <alignment horizontal="center"/>
    </xf>
    <xf numFmtId="0" fontId="45" fillId="22" borderId="5" xfId="0" applyFont="1" applyFill="1" applyBorder="1" applyAlignment="1" applyProtection="1">
      <alignment horizontal="center" vertical="center" wrapText="1"/>
    </xf>
    <xf numFmtId="0" fontId="45" fillId="22" borderId="6" xfId="0" applyFont="1" applyFill="1" applyBorder="1" applyAlignment="1" applyProtection="1">
      <alignment horizontal="center" vertical="center" wrapText="1"/>
    </xf>
    <xf numFmtId="0" fontId="22" fillId="7" borderId="14" xfId="0" applyFont="1" applyFill="1" applyBorder="1" applyAlignment="1" applyProtection="1">
      <alignment horizontal="left"/>
    </xf>
    <xf numFmtId="0" fontId="22" fillId="7" borderId="3" xfId="0" applyFont="1" applyFill="1" applyBorder="1" applyAlignment="1" applyProtection="1">
      <alignment horizontal="left"/>
    </xf>
    <xf numFmtId="0" fontId="22" fillId="11" borderId="14" xfId="0" applyFont="1" applyFill="1" applyBorder="1" applyAlignment="1" applyProtection="1">
      <alignment horizontal="left"/>
    </xf>
    <xf numFmtId="0" fontId="22" fillId="11" borderId="3" xfId="0" applyFont="1" applyFill="1" applyBorder="1" applyAlignment="1" applyProtection="1">
      <alignment horizontal="left"/>
    </xf>
    <xf numFmtId="0" fontId="45" fillId="22" borderId="7" xfId="0" applyFont="1" applyFill="1" applyBorder="1" applyAlignment="1" applyProtection="1">
      <alignment horizontal="center" vertical="center" wrapText="1"/>
    </xf>
    <xf numFmtId="0" fontId="23" fillId="3" borderId="14" xfId="0" applyFont="1" applyFill="1" applyBorder="1" applyAlignment="1" applyProtection="1">
      <alignment horizontal="center" vertical="center" wrapText="1"/>
    </xf>
    <xf numFmtId="0" fontId="23" fillId="13" borderId="16" xfId="0" applyFont="1" applyFill="1" applyBorder="1" applyAlignment="1" applyProtection="1">
      <alignment horizontal="center" vertical="center" wrapText="1"/>
    </xf>
    <xf numFmtId="0" fontId="23" fillId="21" borderId="11" xfId="0" applyFont="1" applyFill="1" applyBorder="1" applyAlignment="1" applyProtection="1">
      <alignment horizontal="center" vertical="center" wrapText="1"/>
    </xf>
    <xf numFmtId="0" fontId="23" fillId="21" borderId="13" xfId="0" applyFont="1" applyFill="1" applyBorder="1" applyAlignment="1" applyProtection="1">
      <alignment horizontal="center" vertical="center" wrapText="1"/>
    </xf>
    <xf numFmtId="0" fontId="23" fillId="15" borderId="14" xfId="0" applyFont="1" applyFill="1" applyBorder="1" applyAlignment="1" applyProtection="1">
      <alignment horizontal="center" vertical="center" wrapText="1"/>
    </xf>
    <xf numFmtId="0" fontId="23" fillId="15" borderId="15" xfId="0" applyFont="1" applyFill="1" applyBorder="1" applyAlignment="1" applyProtection="1">
      <alignment horizontal="center" vertical="center" wrapText="1"/>
    </xf>
    <xf numFmtId="0" fontId="23" fillId="12" borderId="14" xfId="0" applyFont="1" applyFill="1" applyBorder="1" applyAlignment="1" applyProtection="1">
      <alignment horizontal="center" vertical="center" wrapText="1"/>
    </xf>
    <xf numFmtId="0" fontId="74" fillId="19" borderId="6" xfId="0" applyFont="1" applyFill="1" applyBorder="1" applyAlignment="1" applyProtection="1">
      <alignment horizontal="center" vertical="center" wrapText="1"/>
    </xf>
    <xf numFmtId="0" fontId="74" fillId="19" borderId="7" xfId="0" applyFont="1" applyFill="1" applyBorder="1" applyAlignment="1" applyProtection="1">
      <alignment horizontal="center" vertical="center" wrapText="1"/>
    </xf>
    <xf numFmtId="0" fontId="22" fillId="21" borderId="11" xfId="0" applyFont="1" applyFill="1" applyBorder="1" applyAlignment="1" applyProtection="1">
      <alignment horizontal="center" vertical="center" wrapText="1"/>
    </xf>
    <xf numFmtId="0" fontId="22" fillId="21" borderId="12" xfId="0" applyFont="1" applyFill="1" applyBorder="1" applyAlignment="1" applyProtection="1">
      <alignment horizontal="center" vertical="center" wrapText="1"/>
    </xf>
    <xf numFmtId="0" fontId="22" fillId="21" borderId="13" xfId="0" applyFont="1" applyFill="1" applyBorder="1" applyAlignment="1" applyProtection="1">
      <alignment horizontal="center" vertical="center" wrapText="1"/>
    </xf>
    <xf numFmtId="0" fontId="22" fillId="15" borderId="14" xfId="0" applyFont="1" applyFill="1" applyBorder="1" applyAlignment="1" applyProtection="1">
      <alignment horizontal="center" vertical="center" wrapText="1"/>
    </xf>
    <xf numFmtId="0" fontId="22" fillId="15" borderId="3" xfId="0" applyFont="1" applyFill="1" applyBorder="1" applyAlignment="1" applyProtection="1">
      <alignment horizontal="center" vertical="center" wrapText="1"/>
    </xf>
    <xf numFmtId="0" fontId="22" fillId="15" borderId="15" xfId="0" applyFont="1" applyFill="1" applyBorder="1" applyAlignment="1" applyProtection="1">
      <alignment horizontal="center" vertical="center" wrapText="1"/>
    </xf>
    <xf numFmtId="0" fontId="22" fillId="12" borderId="14" xfId="0" applyFont="1" applyFill="1" applyBorder="1" applyAlignment="1" applyProtection="1">
      <alignment horizontal="center" vertical="center" wrapText="1"/>
    </xf>
    <xf numFmtId="0" fontId="22" fillId="12" borderId="3" xfId="0" applyFont="1" applyFill="1" applyBorder="1" applyAlignment="1" applyProtection="1">
      <alignment horizontal="center" vertical="center" wrapText="1"/>
    </xf>
    <xf numFmtId="0" fontId="22" fillId="12" borderId="15" xfId="0" applyFont="1" applyFill="1" applyBorder="1" applyAlignment="1" applyProtection="1">
      <alignment horizontal="center" vertical="center" wrapText="1"/>
    </xf>
    <xf numFmtId="0" fontId="74" fillId="19" borderId="5" xfId="0" applyFont="1" applyFill="1" applyBorder="1" applyAlignment="1">
      <alignment horizontal="center" vertical="center"/>
    </xf>
    <xf numFmtId="0" fontId="74" fillId="19" borderId="6" xfId="0" applyFont="1" applyFill="1" applyBorder="1" applyAlignment="1">
      <alignment horizontal="center" vertical="center"/>
    </xf>
    <xf numFmtId="0" fontId="85" fillId="8" borderId="5" xfId="0" applyFont="1" applyFill="1" applyBorder="1" applyAlignment="1" applyProtection="1">
      <alignment horizontal="center" vertical="center" wrapText="1"/>
    </xf>
    <xf numFmtId="0" fontId="85" fillId="8" borderId="7" xfId="0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horizontal="center" wrapText="1"/>
    </xf>
    <xf numFmtId="0" fontId="11" fillId="10" borderId="6" xfId="0" applyFont="1" applyFill="1" applyBorder="1" applyAlignment="1" applyProtection="1">
      <alignment horizontal="center" wrapText="1"/>
    </xf>
    <xf numFmtId="0" fontId="11" fillId="10" borderId="7" xfId="0" applyFont="1" applyFill="1" applyBorder="1" applyAlignment="1" applyProtection="1">
      <alignment horizontal="center" wrapText="1"/>
    </xf>
    <xf numFmtId="0" fontId="18" fillId="9" borderId="37" xfId="0" applyFont="1" applyFill="1" applyBorder="1" applyAlignment="1" applyProtection="1">
      <alignment horizontal="center" wrapText="1"/>
    </xf>
    <xf numFmtId="0" fontId="18" fillId="9" borderId="39" xfId="0" applyFont="1" applyFill="1" applyBorder="1" applyAlignment="1" applyProtection="1">
      <alignment horizontal="center" wrapText="1"/>
    </xf>
    <xf numFmtId="0" fontId="18" fillId="9" borderId="38" xfId="0" applyFont="1" applyFill="1" applyBorder="1" applyAlignment="1" applyProtection="1">
      <alignment horizont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80" fillId="11" borderId="14" xfId="0" applyFont="1" applyFill="1" applyBorder="1" applyAlignment="1" applyProtection="1">
      <alignment horizontal="center"/>
    </xf>
    <xf numFmtId="0" fontId="80" fillId="11" borderId="3" xfId="0" applyFont="1" applyFill="1" applyBorder="1" applyAlignment="1" applyProtection="1">
      <alignment horizontal="center"/>
    </xf>
    <xf numFmtId="0" fontId="11" fillId="10" borderId="5" xfId="0" applyFont="1" applyFill="1" applyBorder="1" applyAlignment="1" applyProtection="1">
      <alignment horizontal="center" vertical="center"/>
    </xf>
    <xf numFmtId="0" fontId="11" fillId="10" borderId="6" xfId="0" applyFont="1" applyFill="1" applyBorder="1" applyAlignment="1" applyProtection="1">
      <alignment horizontal="center" vertical="center"/>
    </xf>
    <xf numFmtId="0" fontId="11" fillId="10" borderId="7" xfId="0" applyFont="1" applyFill="1" applyBorder="1" applyAlignment="1" applyProtection="1">
      <alignment horizontal="center" vertical="center"/>
    </xf>
    <xf numFmtId="0" fontId="22" fillId="11" borderId="16" xfId="0" applyFont="1" applyFill="1" applyBorder="1" applyAlignment="1" applyProtection="1">
      <alignment horizontal="left"/>
    </xf>
    <xf numFmtId="0" fontId="22" fillId="11" borderId="17" xfId="0" applyFont="1" applyFill="1" applyBorder="1" applyAlignment="1" applyProtection="1">
      <alignment horizontal="left"/>
    </xf>
    <xf numFmtId="0" fontId="22" fillId="13" borderId="16" xfId="0" applyFont="1" applyFill="1" applyBorder="1" applyAlignment="1" applyProtection="1">
      <alignment horizontal="center" vertical="center" wrapText="1"/>
    </xf>
    <xf numFmtId="0" fontId="22" fillId="13" borderId="18" xfId="0" applyFont="1" applyFill="1" applyBorder="1" applyAlignment="1" applyProtection="1">
      <alignment horizontal="center" vertical="center" wrapText="1"/>
    </xf>
    <xf numFmtId="0" fontId="22" fillId="3" borderId="14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2" fillId="3" borderId="15" xfId="0" applyFont="1" applyFill="1" applyBorder="1" applyAlignment="1" applyProtection="1">
      <alignment horizontal="center" vertical="center" wrapText="1"/>
    </xf>
    <xf numFmtId="0" fontId="22" fillId="13" borderId="17" xfId="0" applyFont="1" applyFill="1" applyBorder="1" applyAlignment="1" applyProtection="1">
      <alignment horizontal="center" vertical="center" wrapText="1"/>
    </xf>
    <xf numFmtId="0" fontId="73" fillId="12" borderId="5" xfId="0" applyFont="1" applyFill="1" applyBorder="1" applyAlignment="1" applyProtection="1">
      <alignment horizontal="center" vertical="center"/>
    </xf>
    <xf numFmtId="0" fontId="73" fillId="12" borderId="6" xfId="0" applyFont="1" applyFill="1" applyBorder="1" applyAlignment="1" applyProtection="1">
      <alignment horizontal="center" vertical="center"/>
    </xf>
    <xf numFmtId="0" fontId="73" fillId="12" borderId="7" xfId="0" applyFont="1" applyFill="1" applyBorder="1" applyAlignment="1" applyProtection="1">
      <alignment horizontal="center" vertical="center"/>
    </xf>
    <xf numFmtId="0" fontId="11" fillId="24" borderId="5" xfId="0" applyFont="1" applyFill="1" applyBorder="1" applyAlignment="1" applyProtection="1">
      <alignment horizontal="left" vertical="center" wrapText="1"/>
    </xf>
    <xf numFmtId="0" fontId="11" fillId="24" borderId="6" xfId="0" applyFont="1" applyFill="1" applyBorder="1" applyAlignment="1" applyProtection="1">
      <alignment horizontal="left" vertical="center" wrapText="1"/>
    </xf>
    <xf numFmtId="0" fontId="11" fillId="24" borderId="7" xfId="0" applyFont="1" applyFill="1" applyBorder="1" applyAlignment="1" applyProtection="1">
      <alignment horizontal="left" vertical="center" wrapText="1"/>
    </xf>
    <xf numFmtId="0" fontId="73" fillId="12" borderId="5" xfId="0" applyFont="1" applyFill="1" applyBorder="1" applyAlignment="1" applyProtection="1">
      <alignment horizontal="right" vertical="center" wrapText="1"/>
    </xf>
    <xf numFmtId="0" fontId="73" fillId="12" borderId="6" xfId="0" applyFont="1" applyFill="1" applyBorder="1" applyAlignment="1" applyProtection="1">
      <alignment horizontal="right" vertical="center" wrapText="1"/>
    </xf>
    <xf numFmtId="0" fontId="73" fillId="12" borderId="7" xfId="0" applyFont="1" applyFill="1" applyBorder="1" applyAlignment="1" applyProtection="1">
      <alignment horizontal="right" vertical="center" wrapText="1"/>
    </xf>
    <xf numFmtId="0" fontId="73" fillId="12" borderId="11" xfId="0" applyFont="1" applyFill="1" applyBorder="1" applyAlignment="1" applyProtection="1">
      <alignment horizontal="right" vertical="center"/>
    </xf>
    <xf numFmtId="0" fontId="73" fillId="12" borderId="12" xfId="0" applyFont="1" applyFill="1" applyBorder="1" applyAlignment="1" applyProtection="1">
      <alignment horizontal="right" vertical="center"/>
    </xf>
    <xf numFmtId="0" fontId="73" fillId="12" borderId="13" xfId="0" applyFont="1" applyFill="1" applyBorder="1" applyAlignment="1" applyProtection="1">
      <alignment horizontal="right" vertical="center"/>
    </xf>
    <xf numFmtId="1" fontId="73" fillId="12" borderId="6" xfId="0" applyNumberFormat="1" applyFont="1" applyFill="1" applyBorder="1" applyAlignment="1" applyProtection="1">
      <alignment horizontal="left" vertical="center"/>
    </xf>
    <xf numFmtId="1" fontId="73" fillId="12" borderId="7" xfId="0" applyNumberFormat="1" applyFont="1" applyFill="1" applyBorder="1" applyAlignment="1" applyProtection="1">
      <alignment horizontal="left" vertical="center"/>
    </xf>
    <xf numFmtId="0" fontId="11" fillId="24" borderId="5" xfId="0" applyFont="1" applyFill="1" applyBorder="1" applyAlignment="1">
      <alignment horizontal="left" vertical="center" wrapText="1"/>
    </xf>
    <xf numFmtId="0" fontId="11" fillId="24" borderId="6" xfId="0" applyFont="1" applyFill="1" applyBorder="1" applyAlignment="1">
      <alignment horizontal="left" vertical="center" wrapText="1"/>
    </xf>
    <xf numFmtId="0" fontId="11" fillId="24" borderId="7" xfId="0" applyFont="1" applyFill="1" applyBorder="1" applyAlignment="1">
      <alignment horizontal="left" vertical="center" wrapText="1"/>
    </xf>
    <xf numFmtId="0" fontId="73" fillId="12" borderId="6" xfId="0" applyFont="1" applyFill="1" applyBorder="1" applyAlignment="1" applyProtection="1">
      <alignment horizontal="left" vertical="center"/>
    </xf>
    <xf numFmtId="1" fontId="73" fillId="23" borderId="14" xfId="0" applyNumberFormat="1" applyFont="1" applyFill="1" applyBorder="1" applyAlignment="1" applyProtection="1">
      <alignment horizontal="center"/>
    </xf>
    <xf numFmtId="1" fontId="73" fillId="23" borderId="3" xfId="0" applyNumberFormat="1" applyFont="1" applyFill="1" applyBorder="1" applyAlignment="1" applyProtection="1">
      <alignment horizontal="center"/>
    </xf>
    <xf numFmtId="1" fontId="73" fillId="23" borderId="15" xfId="0" applyNumberFormat="1" applyFont="1" applyFill="1" applyBorder="1" applyAlignment="1" applyProtection="1">
      <alignment horizontal="center"/>
    </xf>
    <xf numFmtId="0" fontId="73" fillId="24" borderId="16" xfId="0" applyFont="1" applyFill="1" applyBorder="1" applyAlignment="1">
      <alignment horizontal="center" wrapText="1"/>
    </xf>
    <xf numFmtId="0" fontId="73" fillId="24" borderId="17" xfId="0" applyFont="1" applyFill="1" applyBorder="1" applyAlignment="1">
      <alignment horizontal="center" wrapText="1"/>
    </xf>
    <xf numFmtId="0" fontId="73" fillId="24" borderId="18" xfId="0" applyFont="1" applyFill="1" applyBorder="1" applyAlignment="1">
      <alignment horizontal="center" wrapText="1"/>
    </xf>
    <xf numFmtId="0" fontId="90" fillId="5" borderId="3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63E"/>
      <color rgb="FF000714"/>
      <color rgb="FFD14607"/>
      <color rgb="FF669900"/>
      <color rgb="FFFD28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P&#225;g Inicial'!A1"/><Relationship Id="rId1" Type="http://schemas.openxmlformats.org/officeDocument/2006/relationships/image" Target="../media/image3.png"/><Relationship Id="rId5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'P&#225;g Inicial'!A1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P&#225;g Inicial'!A1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hyperlink" Target="#'P&#225;g Inicial'!A1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'P&#225;g Inicial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hyperlink" Target="#'P&#225;g Inicial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1</xdr:row>
      <xdr:rowOff>297656</xdr:rowOff>
    </xdr:from>
    <xdr:to>
      <xdr:col>11</xdr:col>
      <xdr:colOff>503464</xdr:colOff>
      <xdr:row>18</xdr:row>
      <xdr:rowOff>35718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7321" y="869156"/>
          <a:ext cx="6439581" cy="5000625"/>
        </a:xfrm>
        <a:prstGeom prst="rect">
          <a:avLst/>
        </a:prstGeom>
      </xdr:spPr>
    </xdr:pic>
    <xdr:clientData/>
  </xdr:twoCellAnchor>
  <xdr:oneCellAnchor>
    <xdr:from>
      <xdr:col>1</xdr:col>
      <xdr:colOff>142874</xdr:colOff>
      <xdr:row>0</xdr:row>
      <xdr:rowOff>23813</xdr:rowOff>
    </xdr:from>
    <xdr:ext cx="6441281" cy="875111"/>
    <xdr:sp macro="" textlink="">
      <xdr:nvSpPr>
        <xdr:cNvPr id="3" name="CaixaDeTexto 2"/>
        <xdr:cNvSpPr txBox="1"/>
      </xdr:nvSpPr>
      <xdr:spPr>
        <a:xfrm>
          <a:off x="2524124" y="23813"/>
          <a:ext cx="6441281" cy="87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5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M.A.E</a:t>
          </a:r>
          <a:r>
            <a:rPr lang="pt-BR" sz="25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- Monitoramento integrado</a:t>
          </a:r>
          <a:r>
            <a:rPr lang="pt-BR" sz="25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da Alimentação Escolar </a:t>
          </a:r>
          <a:endParaRPr lang="pt-BR" sz="2500" b="1" i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1285724</xdr:colOff>
      <xdr:row>8</xdr:row>
      <xdr:rowOff>57601</xdr:rowOff>
    </xdr:from>
    <xdr:to>
      <xdr:col>0</xdr:col>
      <xdr:colOff>1462617</xdr:colOff>
      <xdr:row>9</xdr:row>
      <xdr:rowOff>20109</xdr:rowOff>
    </xdr:to>
    <xdr:pic>
      <xdr:nvPicPr>
        <xdr:cNvPr id="7" name="Imagem 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724" y="3804101"/>
          <a:ext cx="176893" cy="28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283028</xdr:colOff>
      <xdr:row>13</xdr:row>
      <xdr:rowOff>22525</xdr:rowOff>
    </xdr:from>
    <xdr:to>
      <xdr:col>0</xdr:col>
      <xdr:colOff>459921</xdr:colOff>
      <xdr:row>13</xdr:row>
      <xdr:rowOff>297996</xdr:rowOff>
    </xdr:to>
    <xdr:pic>
      <xdr:nvPicPr>
        <xdr:cNvPr id="8" name="Imagem 7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8" y="4349596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1034142</xdr:colOff>
      <xdr:row>11</xdr:row>
      <xdr:rowOff>25247</xdr:rowOff>
    </xdr:from>
    <xdr:to>
      <xdr:col>0</xdr:col>
      <xdr:colOff>1211035</xdr:colOff>
      <xdr:row>11</xdr:row>
      <xdr:rowOff>300718</xdr:rowOff>
    </xdr:to>
    <xdr:pic>
      <xdr:nvPicPr>
        <xdr:cNvPr id="9" name="Imagem 8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2" y="911072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441513</xdr:colOff>
      <xdr:row>2</xdr:row>
      <xdr:rowOff>47660</xdr:rowOff>
    </xdr:from>
    <xdr:to>
      <xdr:col>0</xdr:col>
      <xdr:colOff>618406</xdr:colOff>
      <xdr:row>3</xdr:row>
      <xdr:rowOff>13343</xdr:rowOff>
    </xdr:to>
    <xdr:pic>
      <xdr:nvPicPr>
        <xdr:cNvPr id="10" name="Imagem 9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1876460"/>
          <a:ext cx="176893" cy="28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1285724</xdr:colOff>
      <xdr:row>8</xdr:row>
      <xdr:rowOff>57601</xdr:rowOff>
    </xdr:from>
    <xdr:to>
      <xdr:col>0</xdr:col>
      <xdr:colOff>1462617</xdr:colOff>
      <xdr:row>9</xdr:row>
      <xdr:rowOff>20109</xdr:rowOff>
    </xdr:to>
    <xdr:pic>
      <xdr:nvPicPr>
        <xdr:cNvPr id="11" name="Imagem 10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724" y="3772351"/>
          <a:ext cx="176893" cy="276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456367</xdr:colOff>
      <xdr:row>5</xdr:row>
      <xdr:rowOff>39194</xdr:rowOff>
    </xdr:from>
    <xdr:to>
      <xdr:col>0</xdr:col>
      <xdr:colOff>633260</xdr:colOff>
      <xdr:row>6</xdr:row>
      <xdr:rowOff>5102</xdr:rowOff>
    </xdr:to>
    <xdr:pic>
      <xdr:nvPicPr>
        <xdr:cNvPr id="12" name="Imagem 11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67" y="2810969"/>
          <a:ext cx="176893" cy="28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283028</xdr:colOff>
      <xdr:row>17</xdr:row>
      <xdr:rowOff>22525</xdr:rowOff>
    </xdr:from>
    <xdr:to>
      <xdr:col>0</xdr:col>
      <xdr:colOff>459921</xdr:colOff>
      <xdr:row>17</xdr:row>
      <xdr:rowOff>297996</xdr:rowOff>
    </xdr:to>
    <xdr:pic>
      <xdr:nvPicPr>
        <xdr:cNvPr id="13" name="Imagem 12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8" y="4308775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3" name="CaixaDeTexto 2"/>
        <xdr:cNvSpPr txBox="1"/>
      </xdr:nvSpPr>
      <xdr:spPr>
        <a:xfrm>
          <a:off x="447675" y="676275"/>
          <a:ext cx="9810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333375</xdr:colOff>
      <xdr:row>19</xdr:row>
      <xdr:rowOff>19050</xdr:rowOff>
    </xdr:from>
    <xdr:to>
      <xdr:col>3</xdr:col>
      <xdr:colOff>510268</xdr:colOff>
      <xdr:row>20</xdr:row>
      <xdr:rowOff>189746</xdr:rowOff>
    </xdr:to>
    <xdr:pic>
      <xdr:nvPicPr>
        <xdr:cNvPr id="11" name="Imagem 10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5867400"/>
          <a:ext cx="176893" cy="446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776288</xdr:colOff>
      <xdr:row>0</xdr:row>
      <xdr:rowOff>330994</xdr:rowOff>
    </xdr:from>
    <xdr:to>
      <xdr:col>0</xdr:col>
      <xdr:colOff>953181</xdr:colOff>
      <xdr:row>0</xdr:row>
      <xdr:rowOff>606465</xdr:rowOff>
    </xdr:to>
    <xdr:pic>
      <xdr:nvPicPr>
        <xdr:cNvPr id="12" name="Imagem 11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8" y="330994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952499</xdr:colOff>
      <xdr:row>0</xdr:row>
      <xdr:rowOff>145255</xdr:rowOff>
    </xdr:from>
    <xdr:to>
      <xdr:col>0</xdr:col>
      <xdr:colOff>1419226</xdr:colOff>
      <xdr:row>0</xdr:row>
      <xdr:rowOff>564355</xdr:rowOff>
    </xdr:to>
    <xdr:pic macro="[1]!RESUMOGERENCIAL">
      <xdr:nvPicPr>
        <xdr:cNvPr id="14" name="Picture 11" descr="C:\Users\f8050996\Desktop\home.png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45255"/>
          <a:ext cx="46672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378278</xdr:colOff>
      <xdr:row>13</xdr:row>
      <xdr:rowOff>10619</xdr:rowOff>
    </xdr:from>
    <xdr:to>
      <xdr:col>0</xdr:col>
      <xdr:colOff>555171</xdr:colOff>
      <xdr:row>14</xdr:row>
      <xdr:rowOff>9865</xdr:rowOff>
    </xdr:to>
    <xdr:pic>
      <xdr:nvPicPr>
        <xdr:cNvPr id="25" name="Imagem 24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8" y="4165900"/>
          <a:ext cx="176893" cy="273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1069861</xdr:colOff>
      <xdr:row>11</xdr:row>
      <xdr:rowOff>1435</xdr:rowOff>
    </xdr:from>
    <xdr:to>
      <xdr:col>0</xdr:col>
      <xdr:colOff>1246754</xdr:colOff>
      <xdr:row>12</xdr:row>
      <xdr:rowOff>681</xdr:rowOff>
    </xdr:to>
    <xdr:pic>
      <xdr:nvPicPr>
        <xdr:cNvPr id="26" name="Imagem 2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861" y="3609029"/>
          <a:ext cx="176893" cy="273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536762</xdr:colOff>
      <xdr:row>2</xdr:row>
      <xdr:rowOff>35754</xdr:rowOff>
    </xdr:from>
    <xdr:to>
      <xdr:col>0</xdr:col>
      <xdr:colOff>713655</xdr:colOff>
      <xdr:row>3</xdr:row>
      <xdr:rowOff>1437</xdr:rowOff>
    </xdr:to>
    <xdr:pic>
      <xdr:nvPicPr>
        <xdr:cNvPr id="27" name="Imagem 2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62" y="1071598"/>
          <a:ext cx="176893" cy="27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1333349</xdr:colOff>
      <xdr:row>8</xdr:row>
      <xdr:rowOff>9976</xdr:rowOff>
    </xdr:from>
    <xdr:to>
      <xdr:col>0</xdr:col>
      <xdr:colOff>1510242</xdr:colOff>
      <xdr:row>9</xdr:row>
      <xdr:rowOff>10584</xdr:rowOff>
    </xdr:to>
    <xdr:pic>
      <xdr:nvPicPr>
        <xdr:cNvPr id="28" name="Imagem 27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349" y="2796039"/>
          <a:ext cx="176893" cy="274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515898</xdr:colOff>
      <xdr:row>5</xdr:row>
      <xdr:rowOff>3475</xdr:rowOff>
    </xdr:from>
    <xdr:to>
      <xdr:col>0</xdr:col>
      <xdr:colOff>692791</xdr:colOff>
      <xdr:row>6</xdr:row>
      <xdr:rowOff>7483</xdr:rowOff>
    </xdr:to>
    <xdr:pic>
      <xdr:nvPicPr>
        <xdr:cNvPr id="29" name="Imagem 28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98" y="1968006"/>
          <a:ext cx="176893" cy="277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945356</xdr:colOff>
      <xdr:row>0</xdr:row>
      <xdr:rowOff>123825</xdr:rowOff>
    </xdr:from>
    <xdr:to>
      <xdr:col>0</xdr:col>
      <xdr:colOff>1412083</xdr:colOff>
      <xdr:row>0</xdr:row>
      <xdr:rowOff>542925</xdr:rowOff>
    </xdr:to>
    <xdr:pic macro="[1]!RESUMOGERENCIAL">
      <xdr:nvPicPr>
        <xdr:cNvPr id="8" name="Picture 11" descr="C:\Users\f8050996\Desktop\home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356" y="123825"/>
          <a:ext cx="46672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9" name="CaixaDeTexto 8"/>
        <xdr:cNvSpPr txBox="1"/>
      </xdr:nvSpPr>
      <xdr:spPr>
        <a:xfrm>
          <a:off x="447675" y="676275"/>
          <a:ext cx="981075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704850</xdr:colOff>
      <xdr:row>0</xdr:row>
      <xdr:rowOff>375773</xdr:rowOff>
    </xdr:from>
    <xdr:to>
      <xdr:col>0</xdr:col>
      <xdr:colOff>845343</xdr:colOff>
      <xdr:row>0</xdr:row>
      <xdr:rowOff>594559</xdr:rowOff>
    </xdr:to>
    <xdr:pic>
      <xdr:nvPicPr>
        <xdr:cNvPr id="13" name="Imagem 12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75773"/>
          <a:ext cx="140493" cy="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191481</xdr:colOff>
      <xdr:row>2</xdr:row>
      <xdr:rowOff>35755</xdr:rowOff>
    </xdr:from>
    <xdr:to>
      <xdr:col>0</xdr:col>
      <xdr:colOff>368374</xdr:colOff>
      <xdr:row>2</xdr:row>
      <xdr:rowOff>311001</xdr:rowOff>
    </xdr:to>
    <xdr:pic>
      <xdr:nvPicPr>
        <xdr:cNvPr id="17" name="Imagem 1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81" y="1035880"/>
          <a:ext cx="176893" cy="275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378278</xdr:colOff>
      <xdr:row>13</xdr:row>
      <xdr:rowOff>10619</xdr:rowOff>
    </xdr:from>
    <xdr:to>
      <xdr:col>0</xdr:col>
      <xdr:colOff>555171</xdr:colOff>
      <xdr:row>13</xdr:row>
      <xdr:rowOff>286090</xdr:rowOff>
    </xdr:to>
    <xdr:pic>
      <xdr:nvPicPr>
        <xdr:cNvPr id="10" name="Imagem 9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8" y="4201619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1069861</xdr:colOff>
      <xdr:row>11</xdr:row>
      <xdr:rowOff>1435</xdr:rowOff>
    </xdr:from>
    <xdr:to>
      <xdr:col>0</xdr:col>
      <xdr:colOff>1246754</xdr:colOff>
      <xdr:row>12</xdr:row>
      <xdr:rowOff>29256</xdr:rowOff>
    </xdr:to>
    <xdr:pic>
      <xdr:nvPicPr>
        <xdr:cNvPr id="11" name="Imagem 10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861" y="3639985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1333349</xdr:colOff>
      <xdr:row>8</xdr:row>
      <xdr:rowOff>9976</xdr:rowOff>
    </xdr:from>
    <xdr:to>
      <xdr:col>0</xdr:col>
      <xdr:colOff>1510242</xdr:colOff>
      <xdr:row>9</xdr:row>
      <xdr:rowOff>39159</xdr:rowOff>
    </xdr:to>
    <xdr:pic>
      <xdr:nvPicPr>
        <xdr:cNvPr id="14" name="Imagem 13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349" y="2819851"/>
          <a:ext cx="176893" cy="27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515898</xdr:colOff>
      <xdr:row>5</xdr:row>
      <xdr:rowOff>3475</xdr:rowOff>
    </xdr:from>
    <xdr:to>
      <xdr:col>0</xdr:col>
      <xdr:colOff>692791</xdr:colOff>
      <xdr:row>6</xdr:row>
      <xdr:rowOff>36058</xdr:rowOff>
    </xdr:to>
    <xdr:pic>
      <xdr:nvPicPr>
        <xdr:cNvPr id="15" name="Imagem 14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98" y="1984675"/>
          <a:ext cx="176893" cy="28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152400</xdr:rowOff>
    </xdr:from>
    <xdr:to>
      <xdr:col>0</xdr:col>
      <xdr:colOff>929368</xdr:colOff>
      <xdr:row>0</xdr:row>
      <xdr:rowOff>427871</xdr:rowOff>
    </xdr:to>
    <xdr:pic>
      <xdr:nvPicPr>
        <xdr:cNvPr id="6" name="Imagem 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0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962025</xdr:colOff>
      <xdr:row>0</xdr:row>
      <xdr:rowOff>57150</xdr:rowOff>
    </xdr:from>
    <xdr:to>
      <xdr:col>0</xdr:col>
      <xdr:colOff>1428752</xdr:colOff>
      <xdr:row>0</xdr:row>
      <xdr:rowOff>476250</xdr:rowOff>
    </xdr:to>
    <xdr:pic macro="[1]!RESUMOGERENCIAL">
      <xdr:nvPicPr>
        <xdr:cNvPr id="14" name="Picture 11" descr="C:\Users\f8050996\Desktop\home.png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7150"/>
          <a:ext cx="46672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11" name="CaixaDeTexto 10"/>
        <xdr:cNvSpPr txBox="1"/>
      </xdr:nvSpPr>
      <xdr:spPr>
        <a:xfrm>
          <a:off x="447675" y="676275"/>
          <a:ext cx="981075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378278</xdr:colOff>
      <xdr:row>13</xdr:row>
      <xdr:rowOff>10619</xdr:rowOff>
    </xdr:from>
    <xdr:to>
      <xdr:col>0</xdr:col>
      <xdr:colOff>555171</xdr:colOff>
      <xdr:row>13</xdr:row>
      <xdr:rowOff>286090</xdr:rowOff>
    </xdr:to>
    <xdr:pic>
      <xdr:nvPicPr>
        <xdr:cNvPr id="15" name="Imagem 14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8" y="4201619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1069861</xdr:colOff>
      <xdr:row>11</xdr:row>
      <xdr:rowOff>1435</xdr:rowOff>
    </xdr:from>
    <xdr:to>
      <xdr:col>0</xdr:col>
      <xdr:colOff>1246754</xdr:colOff>
      <xdr:row>11</xdr:row>
      <xdr:rowOff>276906</xdr:rowOff>
    </xdr:to>
    <xdr:pic>
      <xdr:nvPicPr>
        <xdr:cNvPr id="16" name="Imagem 1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861" y="3639985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536762</xdr:colOff>
      <xdr:row>2</xdr:row>
      <xdr:rowOff>35754</xdr:rowOff>
    </xdr:from>
    <xdr:to>
      <xdr:col>0</xdr:col>
      <xdr:colOff>713655</xdr:colOff>
      <xdr:row>3</xdr:row>
      <xdr:rowOff>1437</xdr:rowOff>
    </xdr:to>
    <xdr:pic>
      <xdr:nvPicPr>
        <xdr:cNvPr id="17" name="Imagem 1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62" y="1073979"/>
          <a:ext cx="176893" cy="280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1333349</xdr:colOff>
      <xdr:row>8</xdr:row>
      <xdr:rowOff>9976</xdr:rowOff>
    </xdr:from>
    <xdr:to>
      <xdr:col>0</xdr:col>
      <xdr:colOff>1510242</xdr:colOff>
      <xdr:row>8</xdr:row>
      <xdr:rowOff>286809</xdr:rowOff>
    </xdr:to>
    <xdr:pic>
      <xdr:nvPicPr>
        <xdr:cNvPr id="18" name="Imagem 17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349" y="2819851"/>
          <a:ext cx="176893" cy="27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515898</xdr:colOff>
      <xdr:row>5</xdr:row>
      <xdr:rowOff>3475</xdr:rowOff>
    </xdr:from>
    <xdr:to>
      <xdr:col>0</xdr:col>
      <xdr:colOff>692791</xdr:colOff>
      <xdr:row>5</xdr:row>
      <xdr:rowOff>283708</xdr:rowOff>
    </xdr:to>
    <xdr:pic>
      <xdr:nvPicPr>
        <xdr:cNvPr id="19" name="Imagem 18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98" y="1984675"/>
          <a:ext cx="176893" cy="28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954881</xdr:colOff>
      <xdr:row>0</xdr:row>
      <xdr:rowOff>109539</xdr:rowOff>
    </xdr:from>
    <xdr:to>
      <xdr:col>0</xdr:col>
      <xdr:colOff>1421608</xdr:colOff>
      <xdr:row>0</xdr:row>
      <xdr:rowOff>528639</xdr:rowOff>
    </xdr:to>
    <xdr:pic macro="[1]!RESUMOGERENCIAL">
      <xdr:nvPicPr>
        <xdr:cNvPr id="3" name="Picture 11" descr="C:\Users\f8050996\Desktop\home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881" y="109539"/>
          <a:ext cx="46672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257177</xdr:colOff>
      <xdr:row>31</xdr:row>
      <xdr:rowOff>195263</xdr:rowOff>
    </xdr:from>
    <xdr:to>
      <xdr:col>3</xdr:col>
      <xdr:colOff>434070</xdr:colOff>
      <xdr:row>33</xdr:row>
      <xdr:rowOff>13534</xdr:rowOff>
    </xdr:to>
    <xdr:pic>
      <xdr:nvPicPr>
        <xdr:cNvPr id="12" name="Imagem 11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5615" y="15506701"/>
          <a:ext cx="176893" cy="28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14" name="CaixaDeTexto 13"/>
        <xdr:cNvSpPr txBox="1"/>
      </xdr:nvSpPr>
      <xdr:spPr>
        <a:xfrm>
          <a:off x="447675" y="676275"/>
          <a:ext cx="981075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669131</xdr:colOff>
      <xdr:row>0</xdr:row>
      <xdr:rowOff>366712</xdr:rowOff>
    </xdr:from>
    <xdr:to>
      <xdr:col>0</xdr:col>
      <xdr:colOff>846024</xdr:colOff>
      <xdr:row>0</xdr:row>
      <xdr:rowOff>642183</xdr:rowOff>
    </xdr:to>
    <xdr:pic>
      <xdr:nvPicPr>
        <xdr:cNvPr id="16" name="Imagem 1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" y="366712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536762</xdr:colOff>
      <xdr:row>2</xdr:row>
      <xdr:rowOff>35754</xdr:rowOff>
    </xdr:from>
    <xdr:to>
      <xdr:col>0</xdr:col>
      <xdr:colOff>713655</xdr:colOff>
      <xdr:row>3</xdr:row>
      <xdr:rowOff>1437</xdr:rowOff>
    </xdr:to>
    <xdr:pic>
      <xdr:nvPicPr>
        <xdr:cNvPr id="23" name="Imagem 22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62" y="1073979"/>
          <a:ext cx="176893" cy="280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1333349</xdr:colOff>
      <xdr:row>8</xdr:row>
      <xdr:rowOff>9976</xdr:rowOff>
    </xdr:from>
    <xdr:to>
      <xdr:col>0</xdr:col>
      <xdr:colOff>1510242</xdr:colOff>
      <xdr:row>8</xdr:row>
      <xdr:rowOff>286809</xdr:rowOff>
    </xdr:to>
    <xdr:pic>
      <xdr:nvPicPr>
        <xdr:cNvPr id="18" name="Imagem 17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349" y="2838901"/>
          <a:ext cx="176893" cy="27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19" name="CaixaDeTexto 18"/>
        <xdr:cNvSpPr txBox="1"/>
      </xdr:nvSpPr>
      <xdr:spPr>
        <a:xfrm>
          <a:off x="447675" y="676275"/>
          <a:ext cx="981075" cy="1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378278</xdr:colOff>
      <xdr:row>13</xdr:row>
      <xdr:rowOff>10619</xdr:rowOff>
    </xdr:from>
    <xdr:to>
      <xdr:col>0</xdr:col>
      <xdr:colOff>555171</xdr:colOff>
      <xdr:row>13</xdr:row>
      <xdr:rowOff>393246</xdr:rowOff>
    </xdr:to>
    <xdr:pic>
      <xdr:nvPicPr>
        <xdr:cNvPr id="20" name="Imagem 19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8" y="4525469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1069861</xdr:colOff>
      <xdr:row>11</xdr:row>
      <xdr:rowOff>1435</xdr:rowOff>
    </xdr:from>
    <xdr:to>
      <xdr:col>0</xdr:col>
      <xdr:colOff>1246754</xdr:colOff>
      <xdr:row>12</xdr:row>
      <xdr:rowOff>22113</xdr:rowOff>
    </xdr:to>
    <xdr:pic>
      <xdr:nvPicPr>
        <xdr:cNvPr id="27" name="Imagem 2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861" y="3887635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536762</xdr:colOff>
      <xdr:row>2</xdr:row>
      <xdr:rowOff>35754</xdr:rowOff>
    </xdr:from>
    <xdr:to>
      <xdr:col>0</xdr:col>
      <xdr:colOff>713655</xdr:colOff>
      <xdr:row>3</xdr:row>
      <xdr:rowOff>1437</xdr:rowOff>
    </xdr:to>
    <xdr:pic>
      <xdr:nvPicPr>
        <xdr:cNvPr id="28" name="Imagem 27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62" y="978729"/>
          <a:ext cx="176893" cy="280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1333349</xdr:colOff>
      <xdr:row>8</xdr:row>
      <xdr:rowOff>9976</xdr:rowOff>
    </xdr:from>
    <xdr:to>
      <xdr:col>0</xdr:col>
      <xdr:colOff>1510242</xdr:colOff>
      <xdr:row>8</xdr:row>
      <xdr:rowOff>286809</xdr:rowOff>
    </xdr:to>
    <xdr:pic>
      <xdr:nvPicPr>
        <xdr:cNvPr id="29" name="Imagem 28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349" y="2838901"/>
          <a:ext cx="176893" cy="27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468273</xdr:colOff>
      <xdr:row>5</xdr:row>
      <xdr:rowOff>253506</xdr:rowOff>
    </xdr:from>
    <xdr:to>
      <xdr:col>0</xdr:col>
      <xdr:colOff>645166</xdr:colOff>
      <xdr:row>6</xdr:row>
      <xdr:rowOff>99823</xdr:rowOff>
    </xdr:to>
    <xdr:pic>
      <xdr:nvPicPr>
        <xdr:cNvPr id="30" name="Imagem 29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73" y="2194225"/>
          <a:ext cx="176893" cy="28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1690687</xdr:colOff>
      <xdr:row>3</xdr:row>
      <xdr:rowOff>83345</xdr:rowOff>
    </xdr:from>
    <xdr:to>
      <xdr:col>5</xdr:col>
      <xdr:colOff>2162174</xdr:colOff>
      <xdr:row>3</xdr:row>
      <xdr:rowOff>261941</xdr:rowOff>
    </xdr:to>
    <xdr:sp macro="" textlink="">
      <xdr:nvSpPr>
        <xdr:cNvPr id="21" name="Seta para a direita 20"/>
        <xdr:cNvSpPr/>
      </xdr:nvSpPr>
      <xdr:spPr>
        <a:xfrm>
          <a:off x="7012781" y="1333501"/>
          <a:ext cx="471487" cy="1785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1676400</xdr:colOff>
      <xdr:row>2</xdr:row>
      <xdr:rowOff>69057</xdr:rowOff>
    </xdr:from>
    <xdr:to>
      <xdr:col>5</xdr:col>
      <xdr:colOff>2147887</xdr:colOff>
      <xdr:row>2</xdr:row>
      <xdr:rowOff>247653</xdr:rowOff>
    </xdr:to>
    <xdr:sp macro="" textlink="">
      <xdr:nvSpPr>
        <xdr:cNvPr id="22" name="Seta para a direita 21"/>
        <xdr:cNvSpPr/>
      </xdr:nvSpPr>
      <xdr:spPr>
        <a:xfrm>
          <a:off x="6998494" y="1009651"/>
          <a:ext cx="471487" cy="1785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166686</xdr:colOff>
      <xdr:row>0</xdr:row>
      <xdr:rowOff>0</xdr:rowOff>
    </xdr:from>
    <xdr:ext cx="7358063" cy="821533"/>
    <xdr:sp macro="" textlink="">
      <xdr:nvSpPr>
        <xdr:cNvPr id="10" name="Retângulo 9"/>
        <xdr:cNvSpPr/>
      </xdr:nvSpPr>
      <xdr:spPr>
        <a:xfrm>
          <a:off x="1762124" y="0"/>
          <a:ext cx="7358063" cy="82153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RESULTADOS:</a:t>
          </a:r>
          <a:endParaRPr lang="pt-BR" sz="2200">
            <a:solidFill>
              <a:schemeClr val="bg1"/>
            </a:solidFill>
            <a:effectLst/>
          </a:endParaRPr>
        </a:p>
        <a:p>
          <a:pPr algn="ctr"/>
          <a:r>
            <a:rPr lang="pt-BR" sz="2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M.A.E - Monitoramento integrado  da Alimentação Escolar </a:t>
          </a:r>
          <a:r>
            <a:rPr lang="pt-BR" sz="22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200"/>
            <a:t> </a:t>
          </a:r>
          <a:endParaRPr lang="pt-BR" sz="2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535781</xdr:colOff>
      <xdr:row>0</xdr:row>
      <xdr:rowOff>59531</xdr:rowOff>
    </xdr:from>
    <xdr:to>
      <xdr:col>0</xdr:col>
      <xdr:colOff>1002508</xdr:colOff>
      <xdr:row>0</xdr:row>
      <xdr:rowOff>478631</xdr:rowOff>
    </xdr:to>
    <xdr:pic macro="[1]!RESUMOGERENCIAL">
      <xdr:nvPicPr>
        <xdr:cNvPr id="12" name="Picture 11" descr="C:\Users\f8050996\Desktop\home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59531"/>
          <a:ext cx="46672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300038</xdr:colOff>
      <xdr:row>0</xdr:row>
      <xdr:rowOff>192881</xdr:rowOff>
    </xdr:from>
    <xdr:to>
      <xdr:col>0</xdr:col>
      <xdr:colOff>476931</xdr:colOff>
      <xdr:row>0</xdr:row>
      <xdr:rowOff>468352</xdr:rowOff>
    </xdr:to>
    <xdr:pic>
      <xdr:nvPicPr>
        <xdr:cNvPr id="21" name="Imagem 20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92881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13" name="CaixaDeTexto 12"/>
        <xdr:cNvSpPr txBox="1"/>
      </xdr:nvSpPr>
      <xdr:spPr>
        <a:xfrm>
          <a:off x="447675" y="676275"/>
          <a:ext cx="981075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235403</xdr:colOff>
      <xdr:row>14</xdr:row>
      <xdr:rowOff>58244</xdr:rowOff>
    </xdr:from>
    <xdr:to>
      <xdr:col>0</xdr:col>
      <xdr:colOff>412296</xdr:colOff>
      <xdr:row>14</xdr:row>
      <xdr:rowOff>334395</xdr:rowOff>
    </xdr:to>
    <xdr:pic>
      <xdr:nvPicPr>
        <xdr:cNvPr id="16" name="Imagem 1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03" y="4558807"/>
          <a:ext cx="176893" cy="276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331673</xdr:colOff>
      <xdr:row>11</xdr:row>
      <xdr:rowOff>13341</xdr:rowOff>
    </xdr:from>
    <xdr:to>
      <xdr:col>0</xdr:col>
      <xdr:colOff>508566</xdr:colOff>
      <xdr:row>11</xdr:row>
      <xdr:rowOff>273843</xdr:rowOff>
    </xdr:to>
    <xdr:pic>
      <xdr:nvPicPr>
        <xdr:cNvPr id="23" name="Imagem 22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73" y="3978122"/>
          <a:ext cx="176893" cy="26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</xdr:colOff>
      <xdr:row>1</xdr:row>
      <xdr:rowOff>214347</xdr:rowOff>
    </xdr:from>
    <xdr:to>
      <xdr:col>0</xdr:col>
      <xdr:colOff>177874</xdr:colOff>
      <xdr:row>2</xdr:row>
      <xdr:rowOff>222892</xdr:rowOff>
    </xdr:to>
    <xdr:pic>
      <xdr:nvPicPr>
        <xdr:cNvPr id="24" name="Imagem 23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" y="1071597"/>
          <a:ext cx="176893" cy="28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652991</xdr:colOff>
      <xdr:row>8</xdr:row>
      <xdr:rowOff>21882</xdr:rowOff>
    </xdr:from>
    <xdr:to>
      <xdr:col>0</xdr:col>
      <xdr:colOff>829884</xdr:colOff>
      <xdr:row>8</xdr:row>
      <xdr:rowOff>303819</xdr:rowOff>
    </xdr:to>
    <xdr:pic>
      <xdr:nvPicPr>
        <xdr:cNvPr id="25" name="Imagem 24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91" y="2879382"/>
          <a:ext cx="176893" cy="28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75367</xdr:colOff>
      <xdr:row>5</xdr:row>
      <xdr:rowOff>3475</xdr:rowOff>
    </xdr:from>
    <xdr:to>
      <xdr:col>0</xdr:col>
      <xdr:colOff>252260</xdr:colOff>
      <xdr:row>6</xdr:row>
      <xdr:rowOff>9864</xdr:rowOff>
    </xdr:to>
    <xdr:pic>
      <xdr:nvPicPr>
        <xdr:cNvPr id="26" name="Imagem 25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7" y="1956100"/>
          <a:ext cx="176893" cy="28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283028</xdr:colOff>
      <xdr:row>19</xdr:row>
      <xdr:rowOff>22525</xdr:rowOff>
    </xdr:from>
    <xdr:to>
      <xdr:col>0</xdr:col>
      <xdr:colOff>459921</xdr:colOff>
      <xdr:row>19</xdr:row>
      <xdr:rowOff>22525</xdr:rowOff>
    </xdr:to>
    <xdr:pic>
      <xdr:nvPicPr>
        <xdr:cNvPr id="17" name="Imagem 16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8" y="5623225"/>
          <a:ext cx="176893" cy="27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214313</xdr:colOff>
      <xdr:row>0</xdr:row>
      <xdr:rowOff>0</xdr:rowOff>
    </xdr:from>
    <xdr:ext cx="7358063" cy="821533"/>
    <xdr:sp macro="" textlink="">
      <xdr:nvSpPr>
        <xdr:cNvPr id="19" name="Retângulo 18"/>
        <xdr:cNvSpPr/>
      </xdr:nvSpPr>
      <xdr:spPr>
        <a:xfrm>
          <a:off x="9429751" y="0"/>
          <a:ext cx="7358063" cy="82153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RESULTADOS:</a:t>
          </a:r>
          <a:endParaRPr lang="pt-BR" sz="2200">
            <a:solidFill>
              <a:schemeClr val="bg1"/>
            </a:solidFill>
            <a:effectLst/>
          </a:endParaRPr>
        </a:p>
        <a:p>
          <a:pPr algn="ctr"/>
          <a:r>
            <a:rPr lang="pt-BR" sz="2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M.A.E - Monitoramento integrado  da Alimentação Escolar </a:t>
          </a:r>
          <a:r>
            <a:rPr lang="pt-BR" sz="22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200"/>
            <a:t> </a:t>
          </a:r>
          <a:endParaRPr lang="pt-BR" sz="2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321469</xdr:colOff>
      <xdr:row>23</xdr:row>
      <xdr:rowOff>83344</xdr:rowOff>
    </xdr:from>
    <xdr:ext cx="7358063" cy="821533"/>
    <xdr:sp macro="" textlink="">
      <xdr:nvSpPr>
        <xdr:cNvPr id="20" name="Retângulo 19"/>
        <xdr:cNvSpPr/>
      </xdr:nvSpPr>
      <xdr:spPr>
        <a:xfrm>
          <a:off x="9536907" y="6786563"/>
          <a:ext cx="7358063" cy="82153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RESULTADOS:</a:t>
          </a:r>
          <a:endParaRPr lang="pt-BR" sz="2200">
            <a:solidFill>
              <a:schemeClr val="bg1"/>
            </a:solidFill>
            <a:effectLst/>
          </a:endParaRPr>
        </a:p>
        <a:p>
          <a:pPr algn="ctr"/>
          <a:r>
            <a:rPr lang="pt-BR" sz="2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M.A.E - Monitoramento integrado  da Alimentação Escolar </a:t>
          </a:r>
          <a:r>
            <a:rPr lang="pt-BR" sz="22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200"/>
            <a:t> </a:t>
          </a:r>
          <a:endParaRPr lang="pt-BR" sz="2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92528</xdr:colOff>
      <xdr:row>18</xdr:row>
      <xdr:rowOff>355901</xdr:rowOff>
    </xdr:from>
    <xdr:to>
      <xdr:col>0</xdr:col>
      <xdr:colOff>269421</xdr:colOff>
      <xdr:row>19</xdr:row>
      <xdr:rowOff>273845</xdr:rowOff>
    </xdr:to>
    <xdr:pic>
      <xdr:nvPicPr>
        <xdr:cNvPr id="22" name="Imagem 21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" y="5773245"/>
          <a:ext cx="176893" cy="275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707231</xdr:colOff>
      <xdr:row>0</xdr:row>
      <xdr:rowOff>177271</xdr:rowOff>
    </xdr:from>
    <xdr:ext cx="7465219" cy="882386"/>
    <xdr:sp macro="" textlink="">
      <xdr:nvSpPr>
        <xdr:cNvPr id="2" name="Retângulo 1"/>
        <xdr:cNvSpPr/>
      </xdr:nvSpPr>
      <xdr:spPr>
        <a:xfrm>
          <a:off x="707231" y="177271"/>
          <a:ext cx="7465219" cy="88238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2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M.A.E - Monitoramento integrado da Alimentação Escolar </a:t>
          </a:r>
          <a:r>
            <a:rPr lang="pt-BR" sz="22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200"/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i="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0714"/>
              </a:solidFill>
              <a:effectLst/>
              <a:latin typeface="+mn-lt"/>
              <a:ea typeface="+mn-ea"/>
              <a:cs typeface="+mn-cs"/>
            </a:rPr>
            <a:t>ANÁLISE</a:t>
          </a:r>
          <a:r>
            <a:rPr lang="pt-BR" sz="2000" b="1" i="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0714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2000" b="1" i="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0714"/>
              </a:solidFill>
              <a:effectLst/>
              <a:latin typeface="+mn-lt"/>
              <a:ea typeface="+mn-ea"/>
              <a:cs typeface="+mn-cs"/>
            </a:rPr>
            <a:t>INTEGRADA - RELATÓRIO</a:t>
          </a:r>
          <a:endParaRPr lang="pt-BR" sz="2000">
            <a:solidFill>
              <a:srgbClr val="000714"/>
            </a:solidFill>
            <a:effectLst/>
          </a:endParaRPr>
        </a:p>
        <a:p>
          <a:pPr algn="ctr"/>
          <a:endParaRPr lang="pt-BR" sz="2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226218</xdr:colOff>
      <xdr:row>0</xdr:row>
      <xdr:rowOff>952500</xdr:rowOff>
    </xdr:from>
    <xdr:to>
      <xdr:col>0</xdr:col>
      <xdr:colOff>809624</xdr:colOff>
      <xdr:row>1</xdr:row>
      <xdr:rowOff>535782</xdr:rowOff>
    </xdr:to>
    <xdr:pic macro="[1]!RESUMOGERENCIAL">
      <xdr:nvPicPr>
        <xdr:cNvPr id="3" name="Picture 11" descr="C:\Users\f8050996\Desktop\home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952500"/>
          <a:ext cx="583406" cy="6072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447675</xdr:colOff>
      <xdr:row>0</xdr:row>
      <xdr:rowOff>676275</xdr:rowOff>
    </xdr:from>
    <xdr:to>
      <xdr:col>0</xdr:col>
      <xdr:colOff>1428750</xdr:colOff>
      <xdr:row>0</xdr:row>
      <xdr:rowOff>933450</xdr:rowOff>
    </xdr:to>
    <xdr:sp macro="" textlink="">
      <xdr:nvSpPr>
        <xdr:cNvPr id="5" name="CaixaDeTexto 4"/>
        <xdr:cNvSpPr txBox="1"/>
      </xdr:nvSpPr>
      <xdr:spPr>
        <a:xfrm>
          <a:off x="447675" y="676275"/>
          <a:ext cx="9810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283028</xdr:colOff>
      <xdr:row>11</xdr:row>
      <xdr:rowOff>22525</xdr:rowOff>
    </xdr:from>
    <xdr:to>
      <xdr:col>0</xdr:col>
      <xdr:colOff>459921</xdr:colOff>
      <xdr:row>11</xdr:row>
      <xdr:rowOff>22525</xdr:rowOff>
    </xdr:to>
    <xdr:pic>
      <xdr:nvPicPr>
        <xdr:cNvPr id="11" name="Imagem 10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8" y="5823250"/>
          <a:ext cx="17689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117662</xdr:colOff>
      <xdr:row>1</xdr:row>
      <xdr:rowOff>473903</xdr:rowOff>
    </xdr:from>
    <xdr:to>
      <xdr:col>0</xdr:col>
      <xdr:colOff>294555</xdr:colOff>
      <xdr:row>1</xdr:row>
      <xdr:rowOff>811061</xdr:rowOff>
    </xdr:to>
    <xdr:pic>
      <xdr:nvPicPr>
        <xdr:cNvPr id="15" name="Imagem 14" descr="C:\Users\Elias\AppData\Local\Microsoft\Windows\INetCache\IE\LH0O1JP7\Click-PNG-Image[1]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2" y="1497841"/>
          <a:ext cx="176893" cy="33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s\Downloads\Relat&#243;rio%20Checklist\Base%20Respostas%20CheckLists%20TG_13_07%20(Recuperado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"/>
      <sheetName val="R1"/>
      <sheetName val="Resumo Gerencial"/>
      <sheetName val="L"/>
      <sheetName val="CAPA"/>
      <sheetName val="Retail Estratégico"/>
      <sheetName val="Retail Curva A"/>
      <sheetName val="Retail Curva B"/>
      <sheetName val="Retail Curva C"/>
      <sheetName val="Retail n espec"/>
      <sheetName val="Varejo c promotor"/>
      <sheetName val="Varejo S Promotor"/>
      <sheetName val="Varejo C  Prom V360"/>
      <sheetName val="Varejo S Prom V 360"/>
      <sheetName val="Lojas Rotina"/>
      <sheetName val="Lojas Mega"/>
      <sheetName val="MC OUT"/>
      <sheetName val="MC Est"/>
      <sheetName val="Base Respostas CheckLists TG_13"/>
    </sheetNames>
    <definedNames>
      <definedName name="RESUMOGERENCIA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bvsms.saude.gov.br/bvs/publicacoes/estatuto_idoso_2ed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planalto.gov.br/ccivil_03/leis/l8069.htm" TargetMode="External"/><Relationship Id="rId1" Type="http://schemas.openxmlformats.org/officeDocument/2006/relationships/hyperlink" Target="https://nuppre.paginas.ufsc.br/files/2014/04/2003-VEIROS-e-PROEN%C3%87A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uppre.ufsc.br/files/2014/04/2012-Veiros-e-Martinelli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L48"/>
  <sheetViews>
    <sheetView tabSelected="1" view="pageBreakPreview" topLeftCell="A11" zoomScale="86" zoomScaleNormal="80" zoomScaleSheetLayoutView="86" workbookViewId="0">
      <selection activeCell="C21" sqref="C21:J21"/>
    </sheetView>
  </sheetViews>
  <sheetFormatPr defaultRowHeight="15" x14ac:dyDescent="0.25"/>
  <cols>
    <col min="1" max="1" width="35.7109375" style="38" customWidth="1"/>
    <col min="2" max="16384" width="9.140625" style="5"/>
  </cols>
  <sheetData>
    <row r="1" spans="1:12" ht="45" customHeight="1" thickBot="1" x14ac:dyDescent="0.3">
      <c r="A1" s="2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4.95" customHeight="1" x14ac:dyDescent="0.3">
      <c r="A2" s="427" t="s">
        <v>338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4"/>
    </row>
    <row r="3" spans="1:12" ht="24.95" customHeight="1" thickBot="1" x14ac:dyDescent="0.35">
      <c r="A3" s="48" t="s">
        <v>407</v>
      </c>
      <c r="B3" s="36"/>
      <c r="C3" s="6"/>
      <c r="D3" s="6"/>
      <c r="E3" s="6"/>
      <c r="F3" s="6"/>
      <c r="G3" s="6"/>
      <c r="H3" s="6"/>
      <c r="I3" s="6"/>
      <c r="J3" s="6"/>
      <c r="K3" s="6"/>
      <c r="L3" s="4"/>
    </row>
    <row r="4" spans="1:12" ht="24.95" customHeight="1" thickBot="1" x14ac:dyDescent="0.35">
      <c r="A4" s="35"/>
      <c r="B4" s="36"/>
      <c r="C4" s="6"/>
      <c r="D4" s="6"/>
      <c r="E4" s="6"/>
      <c r="F4" s="6"/>
      <c r="G4" s="6"/>
      <c r="H4" s="6"/>
      <c r="I4" s="6"/>
      <c r="J4" s="6"/>
      <c r="K4" s="6"/>
      <c r="L4" s="4"/>
    </row>
    <row r="5" spans="1:12" ht="24.95" customHeight="1" x14ac:dyDescent="0.3">
      <c r="A5" s="427" t="s">
        <v>339</v>
      </c>
      <c r="B5" s="3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24.95" customHeight="1" thickBot="1" x14ac:dyDescent="0.35">
      <c r="A6" s="48" t="s">
        <v>431</v>
      </c>
      <c r="B6" s="36"/>
      <c r="C6" s="6"/>
      <c r="D6" s="6"/>
      <c r="E6" s="6"/>
      <c r="F6" s="6"/>
      <c r="G6" s="6"/>
      <c r="H6" s="6"/>
      <c r="I6" s="6"/>
      <c r="J6" s="6"/>
      <c r="K6" s="6"/>
      <c r="L6" s="4"/>
    </row>
    <row r="7" spans="1:12" ht="24.95" customHeight="1" thickBot="1" x14ac:dyDescent="0.35">
      <c r="A7" s="35"/>
      <c r="B7" s="36"/>
      <c r="C7" s="6"/>
      <c r="D7" s="6"/>
      <c r="E7" s="6"/>
      <c r="F7" s="6"/>
      <c r="G7" s="6"/>
      <c r="H7" s="6"/>
      <c r="I7" s="6"/>
      <c r="J7" s="6"/>
      <c r="K7" s="6"/>
      <c r="L7" s="4"/>
    </row>
    <row r="8" spans="1:12" ht="24.95" customHeight="1" x14ac:dyDescent="0.3">
      <c r="A8" s="427" t="s">
        <v>340</v>
      </c>
      <c r="B8" s="36"/>
      <c r="C8" s="6"/>
      <c r="D8" s="6"/>
      <c r="E8" s="6"/>
      <c r="F8" s="6"/>
      <c r="G8" s="6"/>
      <c r="H8" s="6"/>
      <c r="I8" s="6"/>
      <c r="J8" s="6"/>
      <c r="K8" s="6"/>
      <c r="L8" s="4"/>
    </row>
    <row r="9" spans="1:12" ht="24.95" customHeight="1" thickBot="1" x14ac:dyDescent="0.35">
      <c r="A9" s="48" t="s">
        <v>54</v>
      </c>
      <c r="B9" s="36"/>
      <c r="C9" s="6"/>
      <c r="D9" s="6"/>
      <c r="E9" s="6"/>
      <c r="F9" s="6"/>
      <c r="G9" s="6"/>
      <c r="H9" s="6"/>
      <c r="I9" s="6"/>
      <c r="J9" s="6"/>
      <c r="K9" s="6"/>
      <c r="L9" s="4"/>
    </row>
    <row r="10" spans="1:12" ht="24.95" customHeight="1" thickBot="1" x14ac:dyDescent="0.35">
      <c r="A10" s="35"/>
      <c r="B10" s="36"/>
      <c r="C10" s="6"/>
      <c r="D10" s="6"/>
      <c r="E10" s="6"/>
      <c r="F10" s="6"/>
      <c r="G10" s="6"/>
      <c r="H10" s="6"/>
      <c r="I10" s="6"/>
      <c r="J10" s="6"/>
      <c r="K10" s="6"/>
      <c r="L10" s="4"/>
    </row>
    <row r="11" spans="1:12" ht="24.95" customHeight="1" x14ac:dyDescent="0.3">
      <c r="A11" s="427" t="s">
        <v>341</v>
      </c>
      <c r="B11" s="36"/>
      <c r="C11" s="6"/>
      <c r="D11" s="6"/>
      <c r="E11" s="6"/>
      <c r="F11" s="6"/>
      <c r="G11" s="6"/>
      <c r="H11" s="6"/>
      <c r="I11" s="6"/>
      <c r="J11" s="6"/>
      <c r="K11" s="6"/>
      <c r="L11" s="4"/>
    </row>
    <row r="12" spans="1:12" ht="24.95" customHeight="1" thickBot="1" x14ac:dyDescent="0.35">
      <c r="A12" s="48" t="s">
        <v>53</v>
      </c>
      <c r="B12" s="36"/>
      <c r="C12" s="6"/>
      <c r="D12" s="6"/>
      <c r="E12" s="6"/>
      <c r="F12" s="6"/>
      <c r="G12" s="6"/>
      <c r="H12" s="6"/>
      <c r="I12" s="6"/>
      <c r="J12" s="6"/>
      <c r="K12" s="6"/>
      <c r="L12" s="4"/>
    </row>
    <row r="13" spans="1:12" ht="24.95" customHeight="1" thickBot="1" x14ac:dyDescent="0.3">
      <c r="A13" s="36"/>
      <c r="B13" s="36"/>
      <c r="C13" s="6"/>
      <c r="D13" s="6"/>
      <c r="E13" s="6"/>
      <c r="F13" s="6"/>
      <c r="G13" s="6"/>
      <c r="H13" s="6"/>
      <c r="I13" s="6"/>
      <c r="J13" s="6"/>
      <c r="K13" s="6"/>
      <c r="L13" s="4"/>
    </row>
    <row r="14" spans="1:12" ht="24.95" customHeight="1" thickBot="1" x14ac:dyDescent="0.45">
      <c r="A14" s="47" t="s">
        <v>51</v>
      </c>
      <c r="B14" s="36"/>
      <c r="C14" s="6"/>
      <c r="D14" s="6"/>
      <c r="E14" s="6"/>
      <c r="F14" s="6"/>
      <c r="G14" s="6"/>
      <c r="H14" s="6"/>
      <c r="I14" s="6"/>
      <c r="J14" s="6"/>
      <c r="K14" s="6"/>
      <c r="L14" s="4"/>
    </row>
    <row r="15" spans="1:12" ht="24.95" customHeight="1" thickBot="1" x14ac:dyDescent="0.3">
      <c r="A15" s="36"/>
      <c r="B15" s="36"/>
      <c r="C15" s="6"/>
      <c r="D15" s="6"/>
      <c r="E15" s="6"/>
      <c r="F15" s="6"/>
      <c r="G15" s="6"/>
      <c r="H15" s="6"/>
      <c r="I15" s="6"/>
      <c r="J15" s="6"/>
      <c r="K15" s="6"/>
      <c r="L15" s="4"/>
    </row>
    <row r="16" spans="1:12" ht="24.95" customHeight="1" thickBot="1" x14ac:dyDescent="0.3">
      <c r="A16" s="300" t="s">
        <v>441</v>
      </c>
      <c r="B16" s="43"/>
      <c r="C16" s="6"/>
      <c r="D16" s="6"/>
      <c r="E16" s="6"/>
      <c r="F16" s="6"/>
      <c r="G16" s="6"/>
      <c r="H16" s="6"/>
      <c r="I16" s="6"/>
      <c r="J16" s="6"/>
      <c r="K16" s="6"/>
      <c r="L16" s="4"/>
    </row>
    <row r="17" spans="1:12" ht="24.95" customHeight="1" thickBot="1" x14ac:dyDescent="0.3">
      <c r="A17" s="43"/>
      <c r="B17" s="36"/>
      <c r="C17" s="6"/>
      <c r="D17" s="6"/>
      <c r="E17" s="6"/>
      <c r="F17" s="6"/>
      <c r="G17" s="6"/>
      <c r="H17" s="6"/>
      <c r="I17" s="6"/>
      <c r="J17" s="6"/>
      <c r="K17" s="6"/>
      <c r="L17" s="4"/>
    </row>
    <row r="18" spans="1:12" ht="24.95" customHeight="1" thickBot="1" x14ac:dyDescent="0.35">
      <c r="A18" s="426" t="s">
        <v>406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4"/>
    </row>
    <row r="19" spans="1:12" ht="24.95" customHeight="1" x14ac:dyDescent="0.25">
      <c r="A19" s="43"/>
      <c r="B19" s="36" t="s">
        <v>56</v>
      </c>
      <c r="C19" s="36" t="s">
        <v>56</v>
      </c>
      <c r="D19" s="36" t="s">
        <v>56</v>
      </c>
      <c r="E19" s="36" t="s">
        <v>56</v>
      </c>
      <c r="F19" s="36" t="s">
        <v>56</v>
      </c>
      <c r="G19" s="36" t="s">
        <v>56</v>
      </c>
      <c r="H19" s="43" t="s">
        <v>56</v>
      </c>
      <c r="I19" s="43" t="s">
        <v>56</v>
      </c>
      <c r="J19" s="43" t="s">
        <v>56</v>
      </c>
      <c r="K19" s="43" t="s">
        <v>56</v>
      </c>
      <c r="L19" s="43" t="s">
        <v>56</v>
      </c>
    </row>
    <row r="20" spans="1:12" ht="24.95" customHeight="1" x14ac:dyDescent="0.25">
      <c r="A20" s="43"/>
      <c r="B20" s="36"/>
      <c r="C20" s="36"/>
      <c r="D20" s="36"/>
      <c r="E20" s="36"/>
      <c r="F20" s="36"/>
      <c r="G20" s="36"/>
      <c r="H20" s="36"/>
      <c r="I20" s="42"/>
      <c r="J20" s="495" t="s">
        <v>442</v>
      </c>
      <c r="K20" s="495"/>
      <c r="L20" s="495"/>
    </row>
    <row r="21" spans="1:12" ht="24.95" customHeight="1" x14ac:dyDescent="0.25">
      <c r="A21" s="36"/>
      <c r="B21" s="12"/>
      <c r="C21" s="494"/>
      <c r="D21" s="494"/>
      <c r="E21" s="494"/>
      <c r="F21" s="494"/>
      <c r="G21" s="494"/>
      <c r="H21" s="494"/>
      <c r="I21" s="494"/>
      <c r="J21" s="494"/>
      <c r="K21" s="12"/>
      <c r="L21" s="4"/>
    </row>
    <row r="22" spans="1:12" s="7" customFormat="1" x14ac:dyDescent="0.25">
      <c r="A22" s="37"/>
    </row>
    <row r="23" spans="1:12" s="7" customFormat="1" x14ac:dyDescent="0.25">
      <c r="A23" s="37"/>
    </row>
    <row r="24" spans="1:12" s="7" customFormat="1" x14ac:dyDescent="0.25">
      <c r="A24" s="37"/>
    </row>
    <row r="25" spans="1:12" s="7" customFormat="1" x14ac:dyDescent="0.25">
      <c r="A25" s="37"/>
    </row>
    <row r="26" spans="1:12" s="7" customFormat="1" x14ac:dyDescent="0.25">
      <c r="A26" s="37"/>
    </row>
    <row r="27" spans="1:12" s="7" customFormat="1" x14ac:dyDescent="0.25">
      <c r="A27" s="37"/>
    </row>
    <row r="28" spans="1:12" s="7" customFormat="1" x14ac:dyDescent="0.25">
      <c r="A28" s="37"/>
    </row>
    <row r="29" spans="1:12" s="7" customFormat="1" x14ac:dyDescent="0.25">
      <c r="A29" s="37"/>
    </row>
    <row r="30" spans="1:12" s="7" customFormat="1" x14ac:dyDescent="0.25">
      <c r="A30" s="37"/>
    </row>
    <row r="31" spans="1:12" s="7" customFormat="1" x14ac:dyDescent="0.25">
      <c r="A31" s="37"/>
    </row>
    <row r="32" spans="1:12" s="7" customFormat="1" x14ac:dyDescent="0.25">
      <c r="A32" s="37"/>
    </row>
    <row r="33" spans="1:1" s="7" customFormat="1" x14ac:dyDescent="0.25">
      <c r="A33" s="37"/>
    </row>
    <row r="34" spans="1:1" s="7" customFormat="1" x14ac:dyDescent="0.25">
      <c r="A34" s="37"/>
    </row>
    <row r="35" spans="1:1" s="7" customFormat="1" x14ac:dyDescent="0.25">
      <c r="A35" s="37"/>
    </row>
    <row r="36" spans="1:1" s="7" customFormat="1" x14ac:dyDescent="0.25">
      <c r="A36" s="37"/>
    </row>
    <row r="37" spans="1:1" s="7" customFormat="1" x14ac:dyDescent="0.25">
      <c r="A37" s="37"/>
    </row>
    <row r="38" spans="1:1" s="7" customFormat="1" x14ac:dyDescent="0.25">
      <c r="A38" s="37"/>
    </row>
    <row r="39" spans="1:1" s="7" customFormat="1" x14ac:dyDescent="0.25">
      <c r="A39" s="37"/>
    </row>
    <row r="40" spans="1:1" s="7" customFormat="1" x14ac:dyDescent="0.25">
      <c r="A40" s="37"/>
    </row>
    <row r="41" spans="1:1" s="7" customFormat="1" x14ac:dyDescent="0.25">
      <c r="A41" s="37"/>
    </row>
    <row r="42" spans="1:1" s="7" customFormat="1" x14ac:dyDescent="0.25">
      <c r="A42" s="37"/>
    </row>
    <row r="43" spans="1:1" s="7" customFormat="1" x14ac:dyDescent="0.25">
      <c r="A43" s="37"/>
    </row>
    <row r="44" spans="1:1" s="7" customFormat="1" x14ac:dyDescent="0.25">
      <c r="A44" s="37"/>
    </row>
    <row r="45" spans="1:1" s="7" customFormat="1" x14ac:dyDescent="0.25">
      <c r="A45" s="37"/>
    </row>
    <row r="46" spans="1:1" s="7" customFormat="1" x14ac:dyDescent="0.25">
      <c r="A46" s="37"/>
    </row>
    <row r="47" spans="1:1" s="7" customFormat="1" x14ac:dyDescent="0.25">
      <c r="A47" s="37"/>
    </row>
    <row r="48" spans="1:1" s="7" customFormat="1" x14ac:dyDescent="0.25">
      <c r="A48" s="37"/>
    </row>
  </sheetData>
  <sheetProtection selectLockedCells="1"/>
  <protectedRanges>
    <protectedRange sqref="A16" name="Intervalo1"/>
  </protectedRanges>
  <mergeCells count="2">
    <mergeCell ref="C21:J21"/>
    <mergeCell ref="J20:L20"/>
  </mergeCells>
  <hyperlinks>
    <hyperlink ref="A14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  <hyperlink ref="A18" location="'ANÁLISE INTEGRADA'!A1" display="   ANÁLISE INTEGRADA"/>
  </hyperlinks>
  <pageMargins left="0.39370078740157483" right="0.39370078740157483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O23"/>
  <sheetViews>
    <sheetView showGridLines="0" view="pageBreakPreview" zoomScale="86" zoomScaleNormal="80" zoomScaleSheetLayoutView="86" workbookViewId="0">
      <selection activeCell="A6" sqref="A6"/>
    </sheetView>
  </sheetViews>
  <sheetFormatPr defaultColWidth="14.42578125" defaultRowHeight="15" customHeight="1" x14ac:dyDescent="0.25"/>
  <cols>
    <col min="1" max="1" width="35.85546875" style="8" bestFit="1" customWidth="1"/>
    <col min="2" max="3" width="3.7109375" style="1" customWidth="1"/>
    <col min="4" max="4" width="15.7109375" style="1" customWidth="1"/>
    <col min="5" max="10" width="6.7109375" style="8" customWidth="1"/>
    <col min="11" max="11" width="8.42578125" style="8" bestFit="1" customWidth="1"/>
    <col min="12" max="12" width="8.85546875" style="8" bestFit="1" customWidth="1"/>
    <col min="13" max="13" width="7.85546875" style="8" bestFit="1" customWidth="1"/>
    <col min="14" max="15" width="6.7109375" style="8" customWidth="1"/>
    <col min="16" max="16384" width="14.42578125" style="1"/>
  </cols>
  <sheetData>
    <row r="1" spans="1:15" ht="57" customHeight="1" thickBot="1" x14ac:dyDescent="0.3">
      <c r="A1" s="66"/>
      <c r="B1" s="3"/>
      <c r="C1" s="66"/>
      <c r="D1" s="496" t="s">
        <v>408</v>
      </c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</row>
    <row r="2" spans="1:15" ht="24.95" customHeight="1" thickBot="1" x14ac:dyDescent="0.35">
      <c r="A2" s="427" t="s">
        <v>338</v>
      </c>
      <c r="B2" s="3"/>
      <c r="C2" s="66"/>
      <c r="D2" s="508" t="s">
        <v>410</v>
      </c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10"/>
    </row>
    <row r="3" spans="1:15" ht="24.75" customHeight="1" thickBot="1" x14ac:dyDescent="0.35">
      <c r="A3" s="48" t="s">
        <v>407</v>
      </c>
      <c r="B3" s="3"/>
      <c r="C3" s="66"/>
      <c r="D3" s="511" t="s">
        <v>342</v>
      </c>
      <c r="E3" s="506" t="s">
        <v>356</v>
      </c>
      <c r="F3" s="507"/>
      <c r="G3" s="506" t="s">
        <v>207</v>
      </c>
      <c r="H3" s="516"/>
      <c r="I3" s="516"/>
      <c r="J3" s="507"/>
      <c r="K3" s="506" t="s">
        <v>209</v>
      </c>
      <c r="L3" s="516"/>
      <c r="M3" s="507"/>
      <c r="N3" s="506" t="s">
        <v>221</v>
      </c>
      <c r="O3" s="507"/>
    </row>
    <row r="4" spans="1:15" ht="24.95" customHeight="1" thickBot="1" x14ac:dyDescent="0.35">
      <c r="A4" s="35"/>
      <c r="B4" s="3"/>
      <c r="C4" s="66"/>
      <c r="D4" s="512"/>
      <c r="E4" s="52" t="s">
        <v>205</v>
      </c>
      <c r="F4" s="53" t="s">
        <v>206</v>
      </c>
      <c r="G4" s="58" t="s">
        <v>201</v>
      </c>
      <c r="H4" s="59" t="s">
        <v>202</v>
      </c>
      <c r="I4" s="59" t="s">
        <v>204</v>
      </c>
      <c r="J4" s="53" t="s">
        <v>203</v>
      </c>
      <c r="K4" s="253" t="s">
        <v>193</v>
      </c>
      <c r="L4" s="254" t="s">
        <v>194</v>
      </c>
      <c r="M4" s="255" t="s">
        <v>195</v>
      </c>
      <c r="N4" s="62" t="s">
        <v>210</v>
      </c>
      <c r="O4" s="61" t="s">
        <v>211</v>
      </c>
    </row>
    <row r="5" spans="1:15" ht="24.95" customHeight="1" thickBot="1" x14ac:dyDescent="0.35">
      <c r="A5" s="427" t="s">
        <v>339</v>
      </c>
      <c r="B5" s="46"/>
      <c r="C5" s="66"/>
      <c r="D5" s="513" t="s">
        <v>208</v>
      </c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5"/>
    </row>
    <row r="6" spans="1:15" ht="21.95" customHeight="1" thickBot="1" x14ac:dyDescent="0.35">
      <c r="A6" s="48" t="s">
        <v>431</v>
      </c>
      <c r="B6" s="3"/>
      <c r="C6" s="66"/>
      <c r="D6" s="146" t="s">
        <v>200</v>
      </c>
      <c r="E6" s="243"/>
      <c r="F6" s="240"/>
      <c r="G6" s="150"/>
      <c r="H6" s="151"/>
      <c r="I6" s="151"/>
      <c r="J6" s="152"/>
      <c r="K6" s="158"/>
      <c r="L6" s="161"/>
      <c r="M6" s="163"/>
      <c r="N6" s="150"/>
      <c r="O6" s="153"/>
    </row>
    <row r="7" spans="1:15" ht="21.95" customHeight="1" thickBot="1" x14ac:dyDescent="0.35">
      <c r="A7" s="35"/>
      <c r="B7" s="3"/>
      <c r="C7" s="66"/>
      <c r="D7" s="246" t="s">
        <v>212</v>
      </c>
      <c r="E7" s="244"/>
      <c r="F7" s="241"/>
      <c r="G7" s="68"/>
      <c r="H7" s="69"/>
      <c r="I7" s="69"/>
      <c r="J7" s="77"/>
      <c r="K7" s="60"/>
      <c r="L7" s="55"/>
      <c r="M7" s="164"/>
      <c r="N7" s="68"/>
      <c r="O7" s="70"/>
    </row>
    <row r="8" spans="1:15" ht="21.95" customHeight="1" x14ac:dyDescent="0.3">
      <c r="A8" s="427" t="s">
        <v>340</v>
      </c>
      <c r="B8" s="46"/>
      <c r="C8" s="66"/>
      <c r="D8" s="246" t="s">
        <v>213</v>
      </c>
      <c r="E8" s="244"/>
      <c r="F8" s="241"/>
      <c r="G8" s="68"/>
      <c r="H8" s="69"/>
      <c r="I8" s="69"/>
      <c r="J8" s="77"/>
      <c r="K8" s="60"/>
      <c r="L8" s="55"/>
      <c r="M8" s="164"/>
      <c r="N8" s="68"/>
      <c r="O8" s="70"/>
    </row>
    <row r="9" spans="1:15" ht="21.95" customHeight="1" thickBot="1" x14ac:dyDescent="0.35">
      <c r="A9" s="48" t="s">
        <v>54</v>
      </c>
      <c r="B9" s="46"/>
      <c r="C9" s="66"/>
      <c r="D9" s="246" t="s">
        <v>214</v>
      </c>
      <c r="E9" s="244"/>
      <c r="F9" s="241"/>
      <c r="G9" s="68"/>
      <c r="H9" s="69"/>
      <c r="I9" s="69"/>
      <c r="J9" s="77"/>
      <c r="K9" s="60"/>
      <c r="L9" s="55"/>
      <c r="M9" s="164"/>
      <c r="N9" s="68"/>
      <c r="O9" s="70"/>
    </row>
    <row r="10" spans="1:15" ht="21.95" customHeight="1" thickBot="1" x14ac:dyDescent="0.35">
      <c r="A10" s="35"/>
      <c r="B10" s="46"/>
      <c r="C10" s="66"/>
      <c r="D10" s="246" t="s">
        <v>215</v>
      </c>
      <c r="E10" s="244"/>
      <c r="F10" s="241"/>
      <c r="G10" s="68"/>
      <c r="H10" s="69"/>
      <c r="I10" s="69"/>
      <c r="J10" s="77"/>
      <c r="K10" s="60"/>
      <c r="L10" s="55"/>
      <c r="M10" s="164"/>
      <c r="N10" s="68"/>
      <c r="O10" s="70"/>
    </row>
    <row r="11" spans="1:15" ht="21.95" customHeight="1" x14ac:dyDescent="0.3">
      <c r="A11" s="427" t="s">
        <v>341</v>
      </c>
      <c r="B11" s="46"/>
      <c r="C11" s="66"/>
      <c r="D11" s="246" t="s">
        <v>216</v>
      </c>
      <c r="E11" s="244"/>
      <c r="F11" s="241"/>
      <c r="G11" s="68"/>
      <c r="H11" s="69"/>
      <c r="I11" s="69"/>
      <c r="J11" s="77"/>
      <c r="K11" s="60"/>
      <c r="L11" s="55"/>
      <c r="M11" s="164"/>
      <c r="N11" s="68"/>
      <c r="O11" s="70"/>
    </row>
    <row r="12" spans="1:15" ht="21.95" customHeight="1" thickBot="1" x14ac:dyDescent="0.35">
      <c r="A12" s="48" t="s">
        <v>53</v>
      </c>
      <c r="B12" s="46"/>
      <c r="C12" s="66"/>
      <c r="D12" s="246" t="s">
        <v>217</v>
      </c>
      <c r="E12" s="244"/>
      <c r="F12" s="241"/>
      <c r="G12" s="68"/>
      <c r="H12" s="69"/>
      <c r="I12" s="69"/>
      <c r="J12" s="77"/>
      <c r="K12" s="60"/>
      <c r="L12" s="55"/>
      <c r="M12" s="164"/>
      <c r="N12" s="68"/>
      <c r="O12" s="70"/>
    </row>
    <row r="13" spans="1:15" ht="21.95" customHeight="1" thickBot="1" x14ac:dyDescent="0.3">
      <c r="A13" s="36"/>
      <c r="B13" s="46"/>
      <c r="C13" s="66"/>
      <c r="D13" s="246" t="s">
        <v>218</v>
      </c>
      <c r="E13" s="244"/>
      <c r="F13" s="241"/>
      <c r="G13" s="68"/>
      <c r="H13" s="69"/>
      <c r="I13" s="69"/>
      <c r="J13" s="77"/>
      <c r="K13" s="60"/>
      <c r="L13" s="55"/>
      <c r="M13" s="164"/>
      <c r="N13" s="68"/>
      <c r="O13" s="70"/>
    </row>
    <row r="14" spans="1:15" ht="21.95" customHeight="1" thickBot="1" x14ac:dyDescent="0.45">
      <c r="A14" s="47" t="s">
        <v>51</v>
      </c>
      <c r="B14" s="46"/>
      <c r="C14" s="66"/>
      <c r="D14" s="246" t="s">
        <v>219</v>
      </c>
      <c r="E14" s="244"/>
      <c r="F14" s="241"/>
      <c r="G14" s="68"/>
      <c r="H14" s="69"/>
      <c r="I14" s="69"/>
      <c r="J14" s="77"/>
      <c r="K14" s="60"/>
      <c r="L14" s="55"/>
      <c r="M14" s="164"/>
      <c r="N14" s="68"/>
      <c r="O14" s="70"/>
    </row>
    <row r="15" spans="1:15" ht="21.95" customHeight="1" thickBot="1" x14ac:dyDescent="0.3">
      <c r="A15" s="36"/>
      <c r="B15" s="46"/>
      <c r="C15" s="66"/>
      <c r="D15" s="247" t="s">
        <v>220</v>
      </c>
      <c r="E15" s="245"/>
      <c r="F15" s="242"/>
      <c r="G15" s="154"/>
      <c r="H15" s="155"/>
      <c r="I15" s="155"/>
      <c r="J15" s="156"/>
      <c r="K15" s="160"/>
      <c r="L15" s="162"/>
      <c r="M15" s="165"/>
      <c r="N15" s="154"/>
      <c r="O15" s="157"/>
    </row>
    <row r="16" spans="1:15" ht="21.95" customHeight="1" thickBot="1" x14ac:dyDescent="0.3">
      <c r="A16" s="300" t="str">
        <f>'Pág Inicial'!A16</f>
        <v>ESCOLA MODELO</v>
      </c>
      <c r="B16" s="46"/>
      <c r="C16" s="66"/>
      <c r="D16" s="248" t="s">
        <v>1</v>
      </c>
      <c r="E16" s="249">
        <f t="shared" ref="E16:O16" si="0">SUM(E4:E15)</f>
        <v>0</v>
      </c>
      <c r="F16" s="249">
        <f t="shared" si="0"/>
        <v>0</v>
      </c>
      <c r="G16" s="250">
        <f t="shared" si="0"/>
        <v>0</v>
      </c>
      <c r="H16" s="250">
        <f t="shared" si="0"/>
        <v>0</v>
      </c>
      <c r="I16" s="250">
        <f t="shared" si="0"/>
        <v>0</v>
      </c>
      <c r="J16" s="250">
        <f t="shared" si="0"/>
        <v>0</v>
      </c>
      <c r="K16" s="249">
        <f t="shared" si="0"/>
        <v>0</v>
      </c>
      <c r="L16" s="249">
        <f t="shared" si="0"/>
        <v>0</v>
      </c>
      <c r="M16" s="249">
        <f t="shared" si="0"/>
        <v>0</v>
      </c>
      <c r="N16" s="250">
        <f t="shared" si="0"/>
        <v>0</v>
      </c>
      <c r="O16" s="251">
        <f t="shared" si="0"/>
        <v>0</v>
      </c>
    </row>
    <row r="17" spans="1:15" ht="21.95" customHeight="1" thickBot="1" x14ac:dyDescent="0.3">
      <c r="A17" s="36"/>
      <c r="B17" s="46"/>
      <c r="C17" s="66"/>
      <c r="D17" s="252" t="s">
        <v>273</v>
      </c>
      <c r="E17" s="517">
        <f>B20-(E16+F16)</f>
        <v>0</v>
      </c>
      <c r="F17" s="517"/>
      <c r="G17" s="517">
        <f>B20-(G16+H16+I16+J16)</f>
        <v>0</v>
      </c>
      <c r="H17" s="517"/>
      <c r="I17" s="517"/>
      <c r="J17" s="517"/>
      <c r="K17" s="517">
        <f>B20-(K16+L16+M16)</f>
        <v>0</v>
      </c>
      <c r="L17" s="517"/>
      <c r="M17" s="517"/>
      <c r="N17" s="517">
        <f>B20-(N16+O16)</f>
        <v>0</v>
      </c>
      <c r="O17" s="518"/>
    </row>
    <row r="18" spans="1:15" ht="33.75" customHeight="1" thickBot="1" x14ac:dyDescent="0.3">
      <c r="A18" s="519" t="s">
        <v>348</v>
      </c>
      <c r="B18" s="520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21.95" customHeight="1" x14ac:dyDescent="0.25">
      <c r="A19" s="283" t="s">
        <v>352</v>
      </c>
      <c r="B19" s="72"/>
      <c r="C19" s="36"/>
      <c r="D19" s="497" t="s">
        <v>343</v>
      </c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9"/>
    </row>
    <row r="20" spans="1:15" ht="21.95" customHeight="1" thickBot="1" x14ac:dyDescent="0.3">
      <c r="A20" s="284" t="s">
        <v>353</v>
      </c>
      <c r="B20" s="282"/>
      <c r="C20" s="36"/>
      <c r="D20" s="500" t="s">
        <v>223</v>
      </c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2"/>
    </row>
    <row r="21" spans="1:15" ht="16.5" thickBot="1" x14ac:dyDescent="0.3">
      <c r="A21" s="521"/>
      <c r="B21" s="522"/>
      <c r="C21" s="36"/>
      <c r="D21" s="503" t="s">
        <v>222</v>
      </c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5"/>
    </row>
    <row r="22" spans="1:15" ht="15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15.75" customHeight="1" x14ac:dyDescent="0.25">
      <c r="A23" s="1"/>
    </row>
  </sheetData>
  <sheetProtection algorithmName="SHA-512" hashValue="8JIobn6Gor04TqfcO4UhVzS6rIBL5z87nMJ/1rPyDr9i5vOn/TYdqGWDXHj6yQ8BaIjqP+4WisFuXxFtjvQGWw==" saltValue="UMNM9Zo4R9lFLYuZzhq96w==" spinCount="100000" sheet="1" objects="1" scenarios="1" selectLockedCells="1"/>
  <protectedRanges>
    <protectedRange sqref="A16" name="Intervalo1"/>
  </protectedRanges>
  <mergeCells count="17">
    <mergeCell ref="A18:B18"/>
    <mergeCell ref="A21:B21"/>
    <mergeCell ref="D1:O1"/>
    <mergeCell ref="D19:O19"/>
    <mergeCell ref="D20:O20"/>
    <mergeCell ref="D21:O21"/>
    <mergeCell ref="N3:O3"/>
    <mergeCell ref="D2:O2"/>
    <mergeCell ref="D3:D4"/>
    <mergeCell ref="D5:O5"/>
    <mergeCell ref="E3:F3"/>
    <mergeCell ref="G3:J3"/>
    <mergeCell ref="K3:M3"/>
    <mergeCell ref="E17:F17"/>
    <mergeCell ref="G17:J17"/>
    <mergeCell ref="K17:M17"/>
    <mergeCell ref="N17:O17"/>
  </mergeCells>
  <hyperlinks>
    <hyperlink ref="D20" r:id="rId1" display="https://nuppre.paginas.ufsc.br/files/2014/04/2003-VEIROS-e-PROEN%C3%87A.pdf"/>
    <hyperlink ref="D21" r:id="rId2"/>
    <hyperlink ref="D20:O20" r:id="rId3" display="http://bvsms.saude.gov.br/bvs/publicacoes/estatuto_idoso_2ed.pdf"/>
    <hyperlink ref="A14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</hyperlinks>
  <pageMargins left="0.39370078740157483" right="0.39370078740157483" top="0.39370078740157483" bottom="0.39370078740157483" header="0" footer="0"/>
  <pageSetup paperSize="9" orientation="landscape" horizontalDpi="300" verticalDpi="300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T95"/>
  <sheetViews>
    <sheetView showGridLines="0" view="pageBreakPreview" zoomScale="90" zoomScaleNormal="80" zoomScaleSheetLayoutView="90" workbookViewId="0">
      <selection activeCell="A9" sqref="A9"/>
    </sheetView>
  </sheetViews>
  <sheetFormatPr defaultColWidth="14.42578125" defaultRowHeight="15" customHeight="1" x14ac:dyDescent="0.25"/>
  <cols>
    <col min="1" max="1" width="35.85546875" style="1" bestFit="1" customWidth="1"/>
    <col min="2" max="2" width="2.140625" style="1" customWidth="1"/>
    <col min="3" max="3" width="15.5703125" style="40" customWidth="1"/>
    <col min="4" max="4" width="9.7109375" style="16" customWidth="1"/>
    <col min="5" max="5" width="6.140625" style="16" customWidth="1"/>
    <col min="6" max="6" width="11" style="16" customWidth="1"/>
    <col min="7" max="8" width="8.85546875" style="16" customWidth="1"/>
    <col min="9" max="9" width="10.7109375" style="16" bestFit="1" customWidth="1"/>
    <col min="10" max="10" width="7.140625" style="16" customWidth="1"/>
    <col min="11" max="11" width="7.85546875" style="41" bestFit="1" customWidth="1"/>
    <col min="12" max="12" width="11.140625" style="1" customWidth="1"/>
    <col min="13" max="13" width="9" style="1" customWidth="1"/>
    <col min="14" max="14" width="8.28515625" style="1" customWidth="1"/>
    <col min="15" max="16" width="8.42578125" style="1" customWidth="1"/>
    <col min="17" max="17" width="8.28515625" style="1" customWidth="1"/>
    <col min="18" max="16384" width="14.42578125" style="1"/>
  </cols>
  <sheetData>
    <row r="1" spans="1:20" s="34" customFormat="1" ht="54" customHeight="1" thickBot="1" x14ac:dyDescent="0.4">
      <c r="A1" s="66"/>
      <c r="B1" s="33"/>
      <c r="C1" s="561" t="s">
        <v>428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481"/>
      <c r="Q1" s="481"/>
      <c r="R1" s="279"/>
      <c r="S1" s="279"/>
      <c r="T1" s="279"/>
    </row>
    <row r="2" spans="1:20" ht="24.95" customHeight="1" thickBot="1" x14ac:dyDescent="0.35">
      <c r="A2" s="427" t="s">
        <v>338</v>
      </c>
      <c r="B2" s="3"/>
      <c r="C2" s="533" t="s">
        <v>426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5"/>
      <c r="P2" s="279"/>
      <c r="Q2" s="279"/>
      <c r="R2" s="279"/>
      <c r="S2" s="279"/>
      <c r="T2" s="279"/>
    </row>
    <row r="3" spans="1:20" ht="27.75" customHeight="1" thickBot="1" x14ac:dyDescent="0.35">
      <c r="A3" s="48" t="s">
        <v>407</v>
      </c>
      <c r="B3" s="3"/>
      <c r="C3" s="544" t="s">
        <v>342</v>
      </c>
      <c r="D3" s="529" t="s">
        <v>235</v>
      </c>
      <c r="E3" s="530"/>
      <c r="F3" s="530"/>
      <c r="G3" s="531"/>
      <c r="H3" s="529" t="s">
        <v>248</v>
      </c>
      <c r="I3" s="530"/>
      <c r="J3" s="530"/>
      <c r="K3" s="553"/>
      <c r="L3" s="560" t="s">
        <v>344</v>
      </c>
      <c r="M3" s="531"/>
      <c r="N3" s="529" t="s">
        <v>394</v>
      </c>
      <c r="O3" s="531"/>
      <c r="P3" s="279"/>
      <c r="Q3" s="279"/>
      <c r="R3" s="279"/>
      <c r="S3" s="279"/>
      <c r="T3" s="279"/>
    </row>
    <row r="4" spans="1:20" ht="29.25" customHeight="1" thickBot="1" x14ac:dyDescent="0.35">
      <c r="A4" s="35"/>
      <c r="B4" s="3"/>
      <c r="C4" s="545"/>
      <c r="D4" s="281" t="s">
        <v>238</v>
      </c>
      <c r="E4" s="268" t="s">
        <v>239</v>
      </c>
      <c r="F4" s="269" t="s">
        <v>240</v>
      </c>
      <c r="G4" s="280" t="s">
        <v>24</v>
      </c>
      <c r="H4" s="274" t="s">
        <v>393</v>
      </c>
      <c r="I4" s="268" t="s">
        <v>247</v>
      </c>
      <c r="J4" s="269" t="s">
        <v>249</v>
      </c>
      <c r="K4" s="280" t="s">
        <v>24</v>
      </c>
      <c r="L4" s="270" t="s">
        <v>23</v>
      </c>
      <c r="M4" s="271" t="s">
        <v>24</v>
      </c>
      <c r="N4" s="270" t="s">
        <v>23</v>
      </c>
      <c r="O4" s="271" t="s">
        <v>24</v>
      </c>
      <c r="P4" s="279"/>
      <c r="Q4" s="279"/>
      <c r="R4" s="279"/>
      <c r="S4" s="279"/>
      <c r="T4" s="279"/>
    </row>
    <row r="5" spans="1:20" s="8" customFormat="1" ht="15.75" customHeight="1" thickBot="1" x14ac:dyDescent="0.35">
      <c r="A5" s="427" t="s">
        <v>339</v>
      </c>
      <c r="B5" s="9"/>
      <c r="C5" s="526" t="s">
        <v>347</v>
      </c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8"/>
      <c r="P5" s="279"/>
      <c r="Q5" s="279"/>
      <c r="R5" s="279"/>
      <c r="S5" s="279"/>
      <c r="T5" s="279"/>
    </row>
    <row r="6" spans="1:20" s="8" customFormat="1" ht="20.100000000000001" customHeight="1" thickBot="1" x14ac:dyDescent="0.35">
      <c r="A6" s="48" t="s">
        <v>431</v>
      </c>
      <c r="B6" s="9"/>
      <c r="C6" s="73" t="s">
        <v>200</v>
      </c>
      <c r="D6" s="262"/>
      <c r="E6" s="144"/>
      <c r="F6" s="145"/>
      <c r="G6" s="263"/>
      <c r="H6" s="79"/>
      <c r="I6" s="67"/>
      <c r="J6" s="76"/>
      <c r="K6" s="76"/>
      <c r="L6" s="264"/>
      <c r="M6" s="265"/>
      <c r="N6" s="266"/>
      <c r="O6" s="267"/>
      <c r="P6" s="66"/>
      <c r="Q6" s="66"/>
      <c r="R6" s="279"/>
      <c r="S6" s="279"/>
      <c r="T6" s="279"/>
    </row>
    <row r="7" spans="1:20" ht="20.100000000000001" customHeight="1" thickBot="1" x14ac:dyDescent="0.35">
      <c r="A7" s="35"/>
      <c r="B7" s="3"/>
      <c r="C7" s="57" t="s">
        <v>212</v>
      </c>
      <c r="D7" s="136"/>
      <c r="E7" s="137"/>
      <c r="F7" s="138"/>
      <c r="G7" s="139"/>
      <c r="H7" s="80"/>
      <c r="I7" s="69"/>
      <c r="J7" s="77"/>
      <c r="K7" s="77"/>
      <c r="L7" s="74"/>
      <c r="M7" s="78"/>
      <c r="N7" s="75"/>
      <c r="O7" s="256"/>
      <c r="P7" s="66"/>
      <c r="Q7" s="66"/>
      <c r="R7" s="279"/>
      <c r="S7" s="279"/>
      <c r="T7" s="279"/>
    </row>
    <row r="8" spans="1:20" ht="20.100000000000001" customHeight="1" x14ac:dyDescent="0.3">
      <c r="A8" s="427" t="s">
        <v>340</v>
      </c>
      <c r="B8" s="3"/>
      <c r="C8" s="57" t="s">
        <v>213</v>
      </c>
      <c r="D8" s="136"/>
      <c r="E8" s="137"/>
      <c r="F8" s="138"/>
      <c r="G8" s="139"/>
      <c r="H8" s="80"/>
      <c r="I8" s="69"/>
      <c r="J8" s="77"/>
      <c r="K8" s="77"/>
      <c r="L8" s="74"/>
      <c r="M8" s="78"/>
      <c r="N8" s="75"/>
      <c r="O8" s="256"/>
      <c r="P8" s="66"/>
      <c r="Q8" s="66"/>
      <c r="R8" s="279"/>
      <c r="S8" s="279"/>
      <c r="T8" s="279"/>
    </row>
    <row r="9" spans="1:20" ht="20.100000000000001" customHeight="1" thickBot="1" x14ac:dyDescent="0.35">
      <c r="A9" s="48" t="s">
        <v>54</v>
      </c>
      <c r="B9" s="3"/>
      <c r="C9" s="57" t="s">
        <v>214</v>
      </c>
      <c r="D9" s="136"/>
      <c r="E9" s="137"/>
      <c r="F9" s="138"/>
      <c r="G9" s="139"/>
      <c r="H9" s="80"/>
      <c r="I9" s="69"/>
      <c r="J9" s="77"/>
      <c r="K9" s="77"/>
      <c r="L9" s="74"/>
      <c r="M9" s="78"/>
      <c r="N9" s="75"/>
      <c r="O9" s="256"/>
      <c r="P9" s="66"/>
      <c r="Q9" s="66"/>
      <c r="R9" s="279"/>
      <c r="S9" s="279"/>
      <c r="T9" s="279"/>
    </row>
    <row r="10" spans="1:20" ht="20.100000000000001" customHeight="1" thickBot="1" x14ac:dyDescent="0.35">
      <c r="A10" s="35"/>
      <c r="B10" s="3"/>
      <c r="C10" s="57" t="s">
        <v>215</v>
      </c>
      <c r="D10" s="140"/>
      <c r="E10" s="141"/>
      <c r="F10" s="142"/>
      <c r="G10" s="143"/>
      <c r="H10" s="81"/>
      <c r="I10" s="71"/>
      <c r="J10" s="82"/>
      <c r="K10" s="82"/>
      <c r="L10" s="83"/>
      <c r="M10" s="84"/>
      <c r="N10" s="85"/>
      <c r="O10" s="257"/>
      <c r="P10" s="66"/>
      <c r="Q10" s="66"/>
      <c r="R10" s="279"/>
      <c r="S10" s="279"/>
      <c r="T10" s="279"/>
    </row>
    <row r="11" spans="1:20" ht="20.100000000000001" customHeight="1" x14ac:dyDescent="0.3">
      <c r="A11" s="427" t="s">
        <v>341</v>
      </c>
      <c r="B11" s="66"/>
      <c r="C11" s="57" t="s">
        <v>216</v>
      </c>
      <c r="D11" s="140"/>
      <c r="E11" s="141"/>
      <c r="F11" s="142"/>
      <c r="G11" s="143"/>
      <c r="H11" s="81"/>
      <c r="I11" s="71"/>
      <c r="J11" s="82"/>
      <c r="K11" s="82"/>
      <c r="L11" s="83"/>
      <c r="M11" s="84"/>
      <c r="N11" s="85"/>
      <c r="O11" s="257"/>
      <c r="P11" s="66"/>
      <c r="Q11" s="66"/>
      <c r="R11" s="279"/>
      <c r="S11" s="279"/>
      <c r="T11" s="279"/>
    </row>
    <row r="12" spans="1:20" ht="20.100000000000001" customHeight="1" thickBot="1" x14ac:dyDescent="0.35">
      <c r="A12" s="48" t="s">
        <v>53</v>
      </c>
      <c r="B12" s="66"/>
      <c r="C12" s="57" t="s">
        <v>217</v>
      </c>
      <c r="D12" s="140"/>
      <c r="E12" s="141"/>
      <c r="F12" s="142"/>
      <c r="G12" s="143"/>
      <c r="H12" s="81"/>
      <c r="I12" s="71"/>
      <c r="J12" s="82"/>
      <c r="K12" s="82"/>
      <c r="L12" s="83"/>
      <c r="M12" s="84"/>
      <c r="N12" s="85"/>
      <c r="O12" s="257"/>
      <c r="P12" s="66"/>
      <c r="Q12" s="66"/>
      <c r="R12" s="279"/>
      <c r="S12" s="279"/>
      <c r="T12" s="279"/>
    </row>
    <row r="13" spans="1:20" ht="20.100000000000001" customHeight="1" thickBot="1" x14ac:dyDescent="0.3">
      <c r="A13" s="36"/>
      <c r="B13" s="66"/>
      <c r="C13" s="57" t="s">
        <v>218</v>
      </c>
      <c r="D13" s="140"/>
      <c r="E13" s="141"/>
      <c r="F13" s="142"/>
      <c r="G13" s="143"/>
      <c r="H13" s="81"/>
      <c r="I13" s="71"/>
      <c r="J13" s="82"/>
      <c r="K13" s="82"/>
      <c r="L13" s="83"/>
      <c r="M13" s="84"/>
      <c r="N13" s="85"/>
      <c r="O13" s="257"/>
      <c r="P13" s="66"/>
      <c r="Q13" s="66"/>
      <c r="R13" s="279"/>
      <c r="S13" s="279"/>
      <c r="T13" s="279"/>
    </row>
    <row r="14" spans="1:20" ht="24" customHeight="1" thickBot="1" x14ac:dyDescent="0.45">
      <c r="A14" s="47" t="s">
        <v>51</v>
      </c>
      <c r="B14" s="66"/>
      <c r="C14" s="57" t="s">
        <v>219</v>
      </c>
      <c r="D14" s="140"/>
      <c r="E14" s="141"/>
      <c r="F14" s="142"/>
      <c r="G14" s="143"/>
      <c r="H14" s="81"/>
      <c r="I14" s="71"/>
      <c r="J14" s="82"/>
      <c r="K14" s="82"/>
      <c r="L14" s="83"/>
      <c r="M14" s="84"/>
      <c r="N14" s="85"/>
      <c r="O14" s="257"/>
      <c r="P14" s="66"/>
      <c r="Q14" s="66"/>
      <c r="R14" s="279"/>
      <c r="S14" s="279"/>
      <c r="T14" s="279"/>
    </row>
    <row r="15" spans="1:20" ht="20.100000000000001" customHeight="1" thickBot="1" x14ac:dyDescent="0.3">
      <c r="A15" s="36"/>
      <c r="B15" s="66"/>
      <c r="C15" s="178" t="s">
        <v>220</v>
      </c>
      <c r="D15" s="179"/>
      <c r="E15" s="147"/>
      <c r="F15" s="148"/>
      <c r="G15" s="180"/>
      <c r="H15" s="181"/>
      <c r="I15" s="155"/>
      <c r="J15" s="156"/>
      <c r="K15" s="156"/>
      <c r="L15" s="182"/>
      <c r="M15" s="183"/>
      <c r="N15" s="184"/>
      <c r="O15" s="258"/>
      <c r="P15" s="66"/>
      <c r="Q15" s="66"/>
      <c r="R15" s="279"/>
      <c r="S15" s="279"/>
      <c r="T15" s="279"/>
    </row>
    <row r="16" spans="1:20" ht="18.75" thickBot="1" x14ac:dyDescent="0.3">
      <c r="A16" s="300" t="str">
        <f>'Pág Inicial'!A16</f>
        <v>ESCOLA MODELO</v>
      </c>
      <c r="B16" s="3"/>
      <c r="C16" s="261" t="s">
        <v>1</v>
      </c>
      <c r="D16" s="259">
        <f>D6+D7+D8+D9+D10+D11+D12+D13+D14+D15</f>
        <v>0</v>
      </c>
      <c r="E16" s="259">
        <f t="shared" ref="E16:O16" si="0">E6+E7+E8+E9+E10+E11+E12+E13+E14+E15</f>
        <v>0</v>
      </c>
      <c r="F16" s="259">
        <f t="shared" si="0"/>
        <v>0</v>
      </c>
      <c r="G16" s="259">
        <f t="shared" si="0"/>
        <v>0</v>
      </c>
      <c r="H16" s="259">
        <f t="shared" si="0"/>
        <v>0</v>
      </c>
      <c r="I16" s="259">
        <f t="shared" si="0"/>
        <v>0</v>
      </c>
      <c r="J16" s="259">
        <f t="shared" si="0"/>
        <v>0</v>
      </c>
      <c r="K16" s="259">
        <f t="shared" si="0"/>
        <v>0</v>
      </c>
      <c r="L16" s="259">
        <f t="shared" si="0"/>
        <v>0</v>
      </c>
      <c r="M16" s="259">
        <f t="shared" si="0"/>
        <v>0</v>
      </c>
      <c r="N16" s="259">
        <f t="shared" si="0"/>
        <v>0</v>
      </c>
      <c r="O16" s="259">
        <f t="shared" si="0"/>
        <v>0</v>
      </c>
      <c r="P16" s="66"/>
      <c r="Q16" s="66"/>
      <c r="R16" s="279"/>
      <c r="S16" s="279"/>
      <c r="T16" s="279"/>
    </row>
    <row r="17" spans="1:20" ht="15.75" thickBot="1" x14ac:dyDescent="0.3">
      <c r="A17" s="36"/>
      <c r="B17" s="66"/>
      <c r="C17" s="557" t="s">
        <v>351</v>
      </c>
      <c r="D17" s="558"/>
      <c r="E17" s="558"/>
      <c r="F17" s="558"/>
      <c r="G17" s="559"/>
      <c r="H17" s="546" t="str">
        <f>IF(H19&lt;0,"RESPOSTAS EM BRANCO",IF((H19&gt;0),"MAIS DE UMA RESPOSTA POR FUNCIONÁRIO",IF((H19=0),"NÃO POSSUI ERROS DE PREENCHIMENTO")))</f>
        <v>NÃO POSSUI ERROS DE PREENCHIMENTO</v>
      </c>
      <c r="I17" s="547"/>
      <c r="J17" s="547"/>
      <c r="K17" s="547"/>
      <c r="L17" s="547"/>
      <c r="M17" s="547"/>
      <c r="N17" s="547"/>
      <c r="O17" s="548"/>
      <c r="P17" s="66"/>
      <c r="Q17" s="66"/>
      <c r="R17" s="279"/>
      <c r="S17" s="279"/>
      <c r="T17" s="279"/>
    </row>
    <row r="18" spans="1:20" ht="15.75" hidden="1" thickBot="1" x14ac:dyDescent="0.3">
      <c r="A18" s="36"/>
      <c r="B18" s="36"/>
      <c r="C18" s="36"/>
      <c r="D18" s="523">
        <f>(D16+E16+F16+G16)-SOCIODEMOGRÁFICA!B20</f>
        <v>0</v>
      </c>
      <c r="E18" s="524"/>
      <c r="F18" s="524"/>
      <c r="G18" s="524"/>
      <c r="H18" s="523">
        <f>(H16+I16+J16+K16)-SOCIODEMOGRÁFICA!B20</f>
        <v>0</v>
      </c>
      <c r="I18" s="524"/>
      <c r="J18" s="524"/>
      <c r="K18" s="524"/>
      <c r="L18" s="523">
        <f>(L16+M16)-SOCIODEMOGRÁFICA!B20</f>
        <v>0</v>
      </c>
      <c r="M18" s="525"/>
      <c r="N18" s="523">
        <f>(N16+O16)-SOCIODEMOGRÁFICA!B20</f>
        <v>0</v>
      </c>
      <c r="O18" s="525"/>
      <c r="P18" s="66"/>
      <c r="Q18" s="66"/>
      <c r="R18" s="279"/>
      <c r="S18" s="279"/>
      <c r="T18" s="279"/>
    </row>
    <row r="19" spans="1:20" ht="15.75" hidden="1" thickBot="1" x14ac:dyDescent="0.3">
      <c r="A19" s="36"/>
      <c r="B19" s="66"/>
      <c r="C19" s="36"/>
      <c r="D19" s="129"/>
      <c r="E19" s="129"/>
      <c r="F19" s="129"/>
      <c r="G19" s="129"/>
      <c r="H19" s="129">
        <f>(D18+H18+L18+N18)</f>
        <v>0</v>
      </c>
      <c r="I19" s="129"/>
      <c r="J19" s="129"/>
      <c r="K19" s="129"/>
      <c r="L19" s="129"/>
      <c r="M19" s="129"/>
      <c r="N19" s="129"/>
      <c r="O19" s="129"/>
      <c r="P19" s="66"/>
      <c r="Q19" s="66"/>
      <c r="R19" s="279"/>
      <c r="S19" s="279"/>
      <c r="T19" s="279"/>
    </row>
    <row r="20" spans="1:20" hidden="1" x14ac:dyDescent="0.25">
      <c r="A20" s="36"/>
      <c r="B20" s="66"/>
      <c r="C20" s="36"/>
      <c r="D20" s="551"/>
      <c r="E20" s="551"/>
      <c r="F20" s="551"/>
      <c r="G20" s="437" t="e">
        <f>G16/SOCIODEMOGRÁFICA!B20</f>
        <v>#DIV/0!</v>
      </c>
      <c r="H20" s="437"/>
      <c r="I20" s="437"/>
      <c r="J20" s="437"/>
      <c r="K20" s="437" t="e">
        <f>K16/SOCIODEMOGRÁFICA!B20</f>
        <v>#DIV/0!</v>
      </c>
      <c r="L20" s="437"/>
      <c r="M20" s="437" t="e">
        <f>M16/SOCIODEMOGRÁFICA!B20</f>
        <v>#DIV/0!</v>
      </c>
      <c r="N20" s="437"/>
      <c r="O20" s="437" t="e">
        <f>O16/SOCIODEMOGRÁFICA!B20</f>
        <v>#DIV/0!</v>
      </c>
      <c r="P20" s="438" t="e">
        <f>(G20+K20+M20+O20)</f>
        <v>#DIV/0!</v>
      </c>
      <c r="Q20" s="488" t="e">
        <f>G20+K20+M20+O20</f>
        <v>#DIV/0!</v>
      </c>
      <c r="R20" s="279"/>
      <c r="S20" s="279"/>
      <c r="T20" s="279"/>
    </row>
    <row r="21" spans="1:20" ht="15.75" thickBot="1" x14ac:dyDescent="0.3">
      <c r="A21" s="43"/>
      <c r="B21" s="3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279"/>
      <c r="S21" s="279"/>
      <c r="T21" s="279"/>
    </row>
    <row r="22" spans="1:20" ht="28.5" customHeight="1" thickBot="1" x14ac:dyDescent="0.3">
      <c r="A22" s="66"/>
      <c r="B22" s="66"/>
      <c r="C22" s="533" t="s">
        <v>427</v>
      </c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5"/>
      <c r="Q22" s="66"/>
      <c r="R22" s="279"/>
      <c r="S22" s="279"/>
      <c r="T22" s="279"/>
    </row>
    <row r="23" spans="1:20" ht="29.25" customHeight="1" thickBot="1" x14ac:dyDescent="0.3">
      <c r="A23" s="66"/>
      <c r="B23" s="66"/>
      <c r="C23" s="544" t="s">
        <v>342</v>
      </c>
      <c r="D23" s="529" t="s">
        <v>236</v>
      </c>
      <c r="E23" s="530"/>
      <c r="F23" s="530"/>
      <c r="G23" s="531"/>
      <c r="H23" s="529" t="s">
        <v>246</v>
      </c>
      <c r="I23" s="530"/>
      <c r="J23" s="530"/>
      <c r="K23" s="553"/>
      <c r="L23" s="560" t="s">
        <v>251</v>
      </c>
      <c r="M23" s="531"/>
      <c r="N23" s="529" t="s">
        <v>237</v>
      </c>
      <c r="O23" s="530"/>
      <c r="P23" s="531"/>
      <c r="Q23" s="66"/>
      <c r="R23" s="279"/>
      <c r="S23" s="279"/>
      <c r="T23" s="279"/>
    </row>
    <row r="24" spans="1:20" ht="30.75" customHeight="1" thickBot="1" x14ac:dyDescent="0.3">
      <c r="A24" s="66"/>
      <c r="B24" s="66"/>
      <c r="C24" s="552"/>
      <c r="D24" s="272" t="s">
        <v>395</v>
      </c>
      <c r="E24" s="268" t="s">
        <v>241</v>
      </c>
      <c r="F24" s="268" t="s">
        <v>242</v>
      </c>
      <c r="G24" s="269" t="s">
        <v>396</v>
      </c>
      <c r="H24" s="280" t="s">
        <v>247</v>
      </c>
      <c r="I24" s="281" t="s">
        <v>250</v>
      </c>
      <c r="J24" s="268" t="s">
        <v>274</v>
      </c>
      <c r="K24" s="269" t="s">
        <v>24</v>
      </c>
      <c r="L24" s="270" t="s">
        <v>23</v>
      </c>
      <c r="M24" s="271" t="s">
        <v>24</v>
      </c>
      <c r="N24" s="272" t="s">
        <v>243</v>
      </c>
      <c r="O24" s="273" t="s">
        <v>244</v>
      </c>
      <c r="P24" s="271" t="s">
        <v>245</v>
      </c>
      <c r="Q24" s="66"/>
      <c r="R24" s="279"/>
      <c r="S24" s="279"/>
      <c r="T24" s="279"/>
    </row>
    <row r="25" spans="1:20" ht="32.25" customHeight="1" thickBot="1" x14ac:dyDescent="0.3">
      <c r="A25" s="66"/>
      <c r="B25" s="66"/>
      <c r="C25" s="526" t="s">
        <v>391</v>
      </c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62"/>
      <c r="O25" s="562"/>
      <c r="P25" s="563"/>
      <c r="Q25" s="66"/>
      <c r="R25" s="279"/>
      <c r="S25" s="279"/>
      <c r="T25" s="279"/>
    </row>
    <row r="26" spans="1:20" ht="24.75" customHeight="1" x14ac:dyDescent="0.25">
      <c r="A26" s="66"/>
      <c r="B26" s="66"/>
      <c r="C26" s="73" t="s">
        <v>200</v>
      </c>
      <c r="D26" s="262"/>
      <c r="E26" s="144"/>
      <c r="F26" s="145"/>
      <c r="G26" s="263"/>
      <c r="H26" s="79"/>
      <c r="I26" s="67"/>
      <c r="J26" s="76"/>
      <c r="K26" s="76"/>
      <c r="L26" s="264"/>
      <c r="M26" s="304"/>
      <c r="N26" s="307"/>
      <c r="O26" s="308"/>
      <c r="P26" s="166"/>
      <c r="Q26" s="66"/>
      <c r="R26" s="279"/>
      <c r="S26" s="279"/>
      <c r="T26" s="279"/>
    </row>
    <row r="27" spans="1:20" ht="20.100000000000001" customHeight="1" x14ac:dyDescent="0.25">
      <c r="A27" s="66"/>
      <c r="B27" s="66"/>
      <c r="C27" s="57" t="s">
        <v>212</v>
      </c>
      <c r="D27" s="136"/>
      <c r="E27" s="137"/>
      <c r="F27" s="138"/>
      <c r="G27" s="139"/>
      <c r="H27" s="80"/>
      <c r="I27" s="69"/>
      <c r="J27" s="77"/>
      <c r="K27" s="77"/>
      <c r="L27" s="74"/>
      <c r="M27" s="164"/>
      <c r="N27" s="309"/>
      <c r="O27" s="306"/>
      <c r="P27" s="167"/>
      <c r="Q27" s="66"/>
      <c r="R27" s="279"/>
      <c r="S27" s="279"/>
      <c r="T27" s="279"/>
    </row>
    <row r="28" spans="1:20" ht="20.100000000000001" customHeight="1" x14ac:dyDescent="0.25">
      <c r="A28" s="66"/>
      <c r="B28" s="66"/>
      <c r="C28" s="57" t="s">
        <v>213</v>
      </c>
      <c r="D28" s="136"/>
      <c r="E28" s="137"/>
      <c r="F28" s="138"/>
      <c r="G28" s="139"/>
      <c r="H28" s="80"/>
      <c r="I28" s="69"/>
      <c r="J28" s="77"/>
      <c r="K28" s="77"/>
      <c r="L28" s="74"/>
      <c r="M28" s="164"/>
      <c r="N28" s="309"/>
      <c r="O28" s="306"/>
      <c r="P28" s="167"/>
      <c r="Q28" s="66"/>
      <c r="R28" s="279"/>
      <c r="S28" s="279"/>
      <c r="T28" s="279"/>
    </row>
    <row r="29" spans="1:20" ht="20.100000000000001" customHeight="1" x14ac:dyDescent="0.25">
      <c r="A29" s="66"/>
      <c r="B29" s="66"/>
      <c r="C29" s="57" t="s">
        <v>214</v>
      </c>
      <c r="D29" s="136"/>
      <c r="E29" s="137"/>
      <c r="F29" s="138"/>
      <c r="G29" s="139"/>
      <c r="H29" s="80"/>
      <c r="I29" s="69"/>
      <c r="J29" s="77"/>
      <c r="K29" s="77"/>
      <c r="L29" s="74"/>
      <c r="M29" s="164"/>
      <c r="N29" s="309"/>
      <c r="O29" s="306"/>
      <c r="P29" s="167"/>
      <c r="Q29" s="66"/>
      <c r="R29" s="279"/>
      <c r="S29" s="279"/>
      <c r="T29" s="279"/>
    </row>
    <row r="30" spans="1:20" ht="20.100000000000001" customHeight="1" x14ac:dyDescent="0.25">
      <c r="A30" s="66"/>
      <c r="B30" s="66"/>
      <c r="C30" s="57" t="s">
        <v>215</v>
      </c>
      <c r="D30" s="140"/>
      <c r="E30" s="141"/>
      <c r="F30" s="142"/>
      <c r="G30" s="143"/>
      <c r="H30" s="81"/>
      <c r="I30" s="71"/>
      <c r="J30" s="82"/>
      <c r="K30" s="82"/>
      <c r="L30" s="83"/>
      <c r="M30" s="305"/>
      <c r="N30" s="309"/>
      <c r="O30" s="306"/>
      <c r="P30" s="167"/>
      <c r="Q30" s="66"/>
      <c r="R30" s="279"/>
      <c r="S30" s="279"/>
      <c r="T30" s="279"/>
    </row>
    <row r="31" spans="1:20" ht="20.100000000000001" customHeight="1" x14ac:dyDescent="0.25">
      <c r="A31" s="66"/>
      <c r="B31" s="66"/>
      <c r="C31" s="57" t="s">
        <v>216</v>
      </c>
      <c r="D31" s="140"/>
      <c r="E31" s="141"/>
      <c r="F31" s="142"/>
      <c r="G31" s="143"/>
      <c r="H31" s="81"/>
      <c r="I31" s="71"/>
      <c r="J31" s="82"/>
      <c r="K31" s="82"/>
      <c r="L31" s="83"/>
      <c r="M31" s="305"/>
      <c r="N31" s="309"/>
      <c r="O31" s="306"/>
      <c r="P31" s="167"/>
      <c r="Q31" s="66"/>
      <c r="R31" s="279"/>
      <c r="S31" s="279"/>
      <c r="T31" s="279"/>
    </row>
    <row r="32" spans="1:20" ht="20.100000000000001" customHeight="1" x14ac:dyDescent="0.25">
      <c r="A32" s="66"/>
      <c r="B32" s="66"/>
      <c r="C32" s="57" t="s">
        <v>217</v>
      </c>
      <c r="D32" s="140"/>
      <c r="E32" s="141"/>
      <c r="F32" s="142"/>
      <c r="G32" s="143"/>
      <c r="H32" s="81"/>
      <c r="I32" s="71"/>
      <c r="J32" s="82"/>
      <c r="K32" s="82"/>
      <c r="L32" s="83"/>
      <c r="M32" s="305"/>
      <c r="N32" s="309"/>
      <c r="O32" s="306"/>
      <c r="P32" s="167"/>
      <c r="Q32" s="66"/>
      <c r="R32" s="279"/>
      <c r="S32" s="279"/>
      <c r="T32" s="279"/>
    </row>
    <row r="33" spans="1:20" ht="20.100000000000001" customHeight="1" x14ac:dyDescent="0.25">
      <c r="A33" s="66"/>
      <c r="B33" s="66"/>
      <c r="C33" s="57" t="s">
        <v>218</v>
      </c>
      <c r="D33" s="140"/>
      <c r="E33" s="141"/>
      <c r="F33" s="142"/>
      <c r="G33" s="143"/>
      <c r="H33" s="81"/>
      <c r="I33" s="71"/>
      <c r="J33" s="82"/>
      <c r="K33" s="82"/>
      <c r="L33" s="83"/>
      <c r="M33" s="305"/>
      <c r="N33" s="309"/>
      <c r="O33" s="306"/>
      <c r="P33" s="167"/>
      <c r="Q33" s="66"/>
      <c r="R33" s="279"/>
      <c r="S33" s="279"/>
      <c r="T33" s="279"/>
    </row>
    <row r="34" spans="1:20" ht="20.100000000000001" customHeight="1" x14ac:dyDescent="0.25">
      <c r="A34" s="66"/>
      <c r="B34" s="66"/>
      <c r="C34" s="57" t="s">
        <v>219</v>
      </c>
      <c r="D34" s="140"/>
      <c r="E34" s="141"/>
      <c r="F34" s="142"/>
      <c r="G34" s="143"/>
      <c r="H34" s="81"/>
      <c r="I34" s="71"/>
      <c r="J34" s="82"/>
      <c r="K34" s="82"/>
      <c r="L34" s="83"/>
      <c r="M34" s="305"/>
      <c r="N34" s="309"/>
      <c r="O34" s="306"/>
      <c r="P34" s="167"/>
      <c r="Q34" s="66"/>
      <c r="R34" s="279"/>
      <c r="S34" s="279"/>
      <c r="T34" s="279"/>
    </row>
    <row r="35" spans="1:20" ht="20.100000000000001" customHeight="1" thickBot="1" x14ac:dyDescent="0.3">
      <c r="A35" s="66"/>
      <c r="B35" s="66"/>
      <c r="C35" s="178" t="s">
        <v>220</v>
      </c>
      <c r="D35" s="179"/>
      <c r="E35" s="147"/>
      <c r="F35" s="148"/>
      <c r="G35" s="180"/>
      <c r="H35" s="181"/>
      <c r="I35" s="155"/>
      <c r="J35" s="156"/>
      <c r="K35" s="156"/>
      <c r="L35" s="182"/>
      <c r="M35" s="165"/>
      <c r="N35" s="310"/>
      <c r="O35" s="311"/>
      <c r="P35" s="168"/>
      <c r="Q35" s="66"/>
      <c r="R35" s="279"/>
      <c r="S35" s="279"/>
      <c r="T35" s="279"/>
    </row>
    <row r="36" spans="1:20" ht="20.100000000000001" customHeight="1" thickBot="1" x14ac:dyDescent="0.3">
      <c r="A36" s="66"/>
      <c r="B36" s="66"/>
      <c r="C36" s="261" t="s">
        <v>1</v>
      </c>
      <c r="D36" s="259">
        <f>D26+D27+D28+D29+D30+D31+D32+D33+D34+D35</f>
        <v>0</v>
      </c>
      <c r="E36" s="259">
        <f t="shared" ref="E36:M36" si="1">E26+E27+E28+E29+E30+E31+E32+E33+E34+E35</f>
        <v>0</v>
      </c>
      <c r="F36" s="259">
        <f t="shared" si="1"/>
        <v>0</v>
      </c>
      <c r="G36" s="259">
        <f t="shared" si="1"/>
        <v>0</v>
      </c>
      <c r="H36" s="259">
        <f t="shared" si="1"/>
        <v>0</v>
      </c>
      <c r="I36" s="259">
        <f t="shared" si="1"/>
        <v>0</v>
      </c>
      <c r="J36" s="259">
        <f t="shared" si="1"/>
        <v>0</v>
      </c>
      <c r="K36" s="259">
        <f t="shared" si="1"/>
        <v>0</v>
      </c>
      <c r="L36" s="259">
        <f t="shared" si="1"/>
        <v>0</v>
      </c>
      <c r="M36" s="259">
        <f t="shared" si="1"/>
        <v>0</v>
      </c>
      <c r="N36" s="259">
        <f>N26+N27+N28+N29+N30+N31+N32+N33+N34+N35</f>
        <v>0</v>
      </c>
      <c r="O36" s="260">
        <f>O26+O27+O28+O29+O30+O31+O32+O33+O34+O35</f>
        <v>0</v>
      </c>
      <c r="P36" s="260">
        <f>P26+P27+P28+P29+P30+P31+P32+P33+P34+P35</f>
        <v>0</v>
      </c>
      <c r="Q36" s="66"/>
      <c r="R36" s="279"/>
      <c r="S36" s="279"/>
      <c r="T36" s="279"/>
    </row>
    <row r="37" spans="1:20" ht="15.75" customHeight="1" thickBot="1" x14ac:dyDescent="0.3">
      <c r="A37" s="36"/>
      <c r="B37" s="66"/>
      <c r="C37" s="557" t="s">
        <v>351</v>
      </c>
      <c r="D37" s="558"/>
      <c r="E37" s="558"/>
      <c r="F37" s="558"/>
      <c r="G37" s="559"/>
      <c r="H37" s="546" t="str">
        <f>IF(H39&lt;0,"RESPOSTAS EM BRANCO",IF((H39&gt;0),"MAIS DE UMA RESPOSTA POR FUNCIONÁRIO",IF((H39=0),"NÃO POSSUI ERROS DE PREENCHIMENTO")))</f>
        <v>NÃO POSSUI ERROS DE PREENCHIMENTO</v>
      </c>
      <c r="I37" s="547"/>
      <c r="J37" s="547"/>
      <c r="K37" s="547"/>
      <c r="L37" s="547"/>
      <c r="M37" s="547"/>
      <c r="N37" s="547"/>
      <c r="O37" s="547"/>
      <c r="P37" s="548"/>
      <c r="Q37" s="279"/>
      <c r="R37" s="279"/>
      <c r="S37" s="279"/>
      <c r="T37" s="279"/>
    </row>
    <row r="38" spans="1:20" ht="15.75" hidden="1" thickBot="1" x14ac:dyDescent="0.3">
      <c r="A38" s="36"/>
      <c r="B38" s="36"/>
      <c r="C38" s="36"/>
      <c r="D38" s="523">
        <f>(D36+E36+F36+G36)-SOCIODEMOGRÁFICA!B20</f>
        <v>0</v>
      </c>
      <c r="E38" s="524"/>
      <c r="F38" s="524"/>
      <c r="G38" s="524"/>
      <c r="H38" s="549">
        <f>(H36+I36+J36+K36)-SOCIODEMOGRÁFICA!B20</f>
        <v>0</v>
      </c>
      <c r="I38" s="549"/>
      <c r="J38" s="549"/>
      <c r="K38" s="550"/>
      <c r="L38" s="554">
        <f>(L36+M36)-SOCIODEMOGRÁFICA!B20</f>
        <v>0</v>
      </c>
      <c r="M38" s="550"/>
      <c r="N38" s="555">
        <f>(N36+O36+P36)-SOCIODEMOGRÁFICA!B20</f>
        <v>0</v>
      </c>
      <c r="O38" s="556"/>
      <c r="P38" s="54"/>
      <c r="Q38" s="66"/>
      <c r="R38" s="279"/>
      <c r="S38" s="279"/>
      <c r="T38" s="279"/>
    </row>
    <row r="39" spans="1:20" ht="15.75" hidden="1" thickBot="1" x14ac:dyDescent="0.3">
      <c r="A39" s="36"/>
      <c r="B39" s="66"/>
      <c r="C39" s="36"/>
      <c r="D39" s="129"/>
      <c r="E39" s="129"/>
      <c r="F39" s="129"/>
      <c r="G39" s="129"/>
      <c r="H39" s="129">
        <f>D38+H38+L38+N38</f>
        <v>0</v>
      </c>
      <c r="I39" s="129"/>
      <c r="J39" s="129"/>
      <c r="K39" s="129"/>
      <c r="L39" s="129"/>
      <c r="M39" s="129"/>
      <c r="N39" s="129"/>
      <c r="O39" s="129"/>
      <c r="P39" s="66"/>
      <c r="Q39" s="66"/>
      <c r="R39" s="279"/>
      <c r="S39" s="279"/>
      <c r="T39" s="279"/>
    </row>
    <row r="40" spans="1:20" hidden="1" x14ac:dyDescent="0.25">
      <c r="A40" s="36"/>
      <c r="B40" s="66"/>
      <c r="C40" s="36"/>
      <c r="D40" s="437" t="e">
        <f>D36/SOCIODEMOGRÁFICA!B20</f>
        <v>#DIV/0!</v>
      </c>
      <c r="E40" s="437"/>
      <c r="F40" s="437"/>
      <c r="G40" s="437"/>
      <c r="H40" s="437"/>
      <c r="I40" s="437"/>
      <c r="J40" s="437"/>
      <c r="K40" s="437" t="e">
        <f>K36/SOCIODEMOGRÁFICA!B20</f>
        <v>#DIV/0!</v>
      </c>
      <c r="L40" s="437"/>
      <c r="M40" s="437" t="e">
        <f>M36/SOCIODEMOGRÁFICA!B20</f>
        <v>#DIV/0!</v>
      </c>
      <c r="N40" s="437" t="e">
        <f>N36/SOCIODEMOGRÁFICA!B20</f>
        <v>#DIV/0!</v>
      </c>
      <c r="O40" s="437"/>
      <c r="P40" s="437"/>
      <c r="Q40" s="438" t="e">
        <f>(D40+K40+M40+N40)</f>
        <v>#DIV/0!</v>
      </c>
      <c r="R40" s="438" t="e">
        <f>P20+Q40</f>
        <v>#DIV/0!</v>
      </c>
      <c r="S40" s="488" t="e">
        <f>D40+K40+M40+N40</f>
        <v>#DIV/0!</v>
      </c>
      <c r="T40" s="489" t="e">
        <f>S40+Q20</f>
        <v>#DIV/0!</v>
      </c>
    </row>
    <row r="41" spans="1:20" ht="15.75" thickBot="1" x14ac:dyDescent="0.3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79"/>
      <c r="S41" s="279"/>
      <c r="T41" s="279"/>
    </row>
    <row r="42" spans="1:20" ht="24" customHeight="1" thickBot="1" x14ac:dyDescent="0.3">
      <c r="A42" s="66"/>
      <c r="B42" s="66"/>
      <c r="C42" s="533" t="s">
        <v>425</v>
      </c>
      <c r="D42" s="534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5"/>
      <c r="R42" s="279"/>
      <c r="S42" s="279"/>
      <c r="T42" s="279"/>
    </row>
    <row r="43" spans="1:20" ht="25.5" customHeight="1" thickBot="1" x14ac:dyDescent="0.3">
      <c r="A43" s="66"/>
      <c r="B43" s="66"/>
      <c r="C43" s="544" t="s">
        <v>342</v>
      </c>
      <c r="D43" s="529" t="s">
        <v>232</v>
      </c>
      <c r="E43" s="530"/>
      <c r="F43" s="530"/>
      <c r="G43" s="553"/>
      <c r="H43" s="560" t="s">
        <v>225</v>
      </c>
      <c r="I43" s="530"/>
      <c r="J43" s="530"/>
      <c r="K43" s="530"/>
      <c r="L43" s="529" t="s">
        <v>345</v>
      </c>
      <c r="M43" s="531"/>
      <c r="N43" s="529" t="s">
        <v>346</v>
      </c>
      <c r="O43" s="530"/>
      <c r="P43" s="530"/>
      <c r="Q43" s="531"/>
      <c r="R43" s="279"/>
      <c r="S43" s="279"/>
      <c r="T43" s="279"/>
    </row>
    <row r="44" spans="1:20" ht="23.25" thickBot="1" x14ac:dyDescent="0.3">
      <c r="A44" s="66"/>
      <c r="B44" s="66"/>
      <c r="C44" s="545"/>
      <c r="D44" s="272" t="s">
        <v>226</v>
      </c>
      <c r="E44" s="268" t="s">
        <v>227</v>
      </c>
      <c r="F44" s="268" t="s">
        <v>228</v>
      </c>
      <c r="G44" s="269" t="s">
        <v>380</v>
      </c>
      <c r="H44" s="280" t="s">
        <v>226</v>
      </c>
      <c r="I44" s="281" t="s">
        <v>227</v>
      </c>
      <c r="J44" s="268" t="s">
        <v>228</v>
      </c>
      <c r="K44" s="269" t="s">
        <v>397</v>
      </c>
      <c r="L44" s="272" t="s">
        <v>399</v>
      </c>
      <c r="M44" s="271" t="s">
        <v>400</v>
      </c>
      <c r="N44" s="272" t="s">
        <v>381</v>
      </c>
      <c r="O44" s="274" t="s">
        <v>382</v>
      </c>
      <c r="P44" s="274" t="s">
        <v>401</v>
      </c>
      <c r="Q44" s="271" t="s">
        <v>24</v>
      </c>
      <c r="R44" s="279"/>
      <c r="S44" s="279"/>
      <c r="T44" s="279"/>
    </row>
    <row r="45" spans="1:20" ht="20.100000000000001" customHeight="1" thickBot="1" x14ac:dyDescent="0.3">
      <c r="A45" s="66"/>
      <c r="B45" s="66"/>
      <c r="C45" s="526" t="s">
        <v>398</v>
      </c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8"/>
      <c r="R45" s="279"/>
      <c r="S45" s="279"/>
      <c r="T45" s="279"/>
    </row>
    <row r="46" spans="1:20" ht="18" customHeight="1" x14ac:dyDescent="0.25">
      <c r="A46" s="66"/>
      <c r="B46" s="66"/>
      <c r="C46" s="73" t="s">
        <v>200</v>
      </c>
      <c r="D46" s="262"/>
      <c r="E46" s="144"/>
      <c r="F46" s="145"/>
      <c r="G46" s="263"/>
      <c r="H46" s="79"/>
      <c r="I46" s="67"/>
      <c r="J46" s="76"/>
      <c r="K46" s="76"/>
      <c r="L46" s="264"/>
      <c r="M46" s="304"/>
      <c r="N46" s="307"/>
      <c r="O46" s="308"/>
      <c r="P46" s="308"/>
      <c r="Q46" s="166"/>
      <c r="R46" s="279"/>
      <c r="S46" s="279"/>
      <c r="T46" s="279"/>
    </row>
    <row r="47" spans="1:20" ht="18" customHeight="1" x14ac:dyDescent="0.25">
      <c r="A47" s="66"/>
      <c r="B47" s="66"/>
      <c r="C47" s="57" t="s">
        <v>212</v>
      </c>
      <c r="D47" s="136"/>
      <c r="E47" s="137"/>
      <c r="F47" s="138"/>
      <c r="G47" s="139"/>
      <c r="H47" s="80"/>
      <c r="I47" s="69"/>
      <c r="J47" s="77"/>
      <c r="K47" s="77"/>
      <c r="L47" s="74"/>
      <c r="M47" s="164"/>
      <c r="N47" s="309"/>
      <c r="O47" s="306"/>
      <c r="P47" s="306"/>
      <c r="Q47" s="167"/>
      <c r="R47" s="279"/>
      <c r="S47" s="279"/>
      <c r="T47" s="279"/>
    </row>
    <row r="48" spans="1:20" ht="18" customHeight="1" x14ac:dyDescent="0.25">
      <c r="A48" s="66"/>
      <c r="B48" s="66"/>
      <c r="C48" s="57" t="s">
        <v>213</v>
      </c>
      <c r="D48" s="136"/>
      <c r="E48" s="137"/>
      <c r="F48" s="138"/>
      <c r="G48" s="139"/>
      <c r="H48" s="80"/>
      <c r="I48" s="69"/>
      <c r="J48" s="77"/>
      <c r="K48" s="77"/>
      <c r="L48" s="74"/>
      <c r="M48" s="164"/>
      <c r="N48" s="309"/>
      <c r="O48" s="306"/>
      <c r="P48" s="306"/>
      <c r="Q48" s="167"/>
      <c r="R48" s="279"/>
      <c r="S48" s="279"/>
      <c r="T48" s="279"/>
    </row>
    <row r="49" spans="1:20" ht="18" customHeight="1" x14ac:dyDescent="0.25">
      <c r="A49" s="66"/>
      <c r="B49" s="66"/>
      <c r="C49" s="57" t="s">
        <v>214</v>
      </c>
      <c r="D49" s="136"/>
      <c r="E49" s="137"/>
      <c r="F49" s="138"/>
      <c r="G49" s="139"/>
      <c r="H49" s="80"/>
      <c r="I49" s="69"/>
      <c r="J49" s="77"/>
      <c r="K49" s="77"/>
      <c r="L49" s="74"/>
      <c r="M49" s="164"/>
      <c r="N49" s="309"/>
      <c r="O49" s="306"/>
      <c r="P49" s="306"/>
      <c r="Q49" s="167"/>
      <c r="R49" s="279"/>
      <c r="S49" s="279"/>
      <c r="T49" s="279"/>
    </row>
    <row r="50" spans="1:20" ht="18" customHeight="1" x14ac:dyDescent="0.25">
      <c r="A50" s="66"/>
      <c r="B50" s="66"/>
      <c r="C50" s="57" t="s">
        <v>215</v>
      </c>
      <c r="D50" s="140"/>
      <c r="E50" s="141"/>
      <c r="F50" s="142"/>
      <c r="G50" s="143"/>
      <c r="H50" s="81"/>
      <c r="I50" s="71"/>
      <c r="J50" s="82"/>
      <c r="K50" s="82"/>
      <c r="L50" s="83"/>
      <c r="M50" s="305"/>
      <c r="N50" s="309"/>
      <c r="O50" s="306"/>
      <c r="P50" s="306"/>
      <c r="Q50" s="167"/>
      <c r="R50" s="279"/>
      <c r="S50" s="279"/>
      <c r="T50" s="279"/>
    </row>
    <row r="51" spans="1:20" ht="18" customHeight="1" x14ac:dyDescent="0.25">
      <c r="A51" s="66"/>
      <c r="B51" s="66"/>
      <c r="C51" s="57" t="s">
        <v>216</v>
      </c>
      <c r="D51" s="140"/>
      <c r="E51" s="141"/>
      <c r="F51" s="142"/>
      <c r="G51" s="143"/>
      <c r="H51" s="81"/>
      <c r="I51" s="71"/>
      <c r="J51" s="82"/>
      <c r="K51" s="82"/>
      <c r="L51" s="83"/>
      <c r="M51" s="305"/>
      <c r="N51" s="309"/>
      <c r="O51" s="306"/>
      <c r="P51" s="306"/>
      <c r="Q51" s="167"/>
      <c r="R51" s="279"/>
      <c r="S51" s="279"/>
      <c r="T51" s="279"/>
    </row>
    <row r="52" spans="1:20" ht="18" customHeight="1" x14ac:dyDescent="0.25">
      <c r="A52" s="66"/>
      <c r="B52" s="66"/>
      <c r="C52" s="57" t="s">
        <v>217</v>
      </c>
      <c r="D52" s="140"/>
      <c r="E52" s="141"/>
      <c r="F52" s="142"/>
      <c r="G52" s="143"/>
      <c r="H52" s="81"/>
      <c r="I52" s="71"/>
      <c r="J52" s="82"/>
      <c r="K52" s="82"/>
      <c r="L52" s="83"/>
      <c r="M52" s="305"/>
      <c r="N52" s="309"/>
      <c r="O52" s="306"/>
      <c r="P52" s="306"/>
      <c r="Q52" s="167"/>
      <c r="R52" s="279"/>
      <c r="S52" s="279"/>
      <c r="T52" s="279"/>
    </row>
    <row r="53" spans="1:20" ht="18" customHeight="1" x14ac:dyDescent="0.25">
      <c r="A53" s="66"/>
      <c r="B53" s="66"/>
      <c r="C53" s="57" t="s">
        <v>218</v>
      </c>
      <c r="D53" s="140"/>
      <c r="E53" s="141"/>
      <c r="F53" s="142"/>
      <c r="G53" s="143"/>
      <c r="H53" s="81"/>
      <c r="I53" s="71"/>
      <c r="J53" s="82"/>
      <c r="K53" s="82"/>
      <c r="L53" s="83"/>
      <c r="M53" s="305"/>
      <c r="N53" s="309"/>
      <c r="O53" s="306"/>
      <c r="P53" s="306"/>
      <c r="Q53" s="167"/>
      <c r="R53" s="279"/>
      <c r="S53" s="279"/>
      <c r="T53" s="279"/>
    </row>
    <row r="54" spans="1:20" ht="18" customHeight="1" x14ac:dyDescent="0.25">
      <c r="A54" s="66"/>
      <c r="B54" s="66"/>
      <c r="C54" s="57" t="s">
        <v>219</v>
      </c>
      <c r="D54" s="140"/>
      <c r="E54" s="141"/>
      <c r="F54" s="142"/>
      <c r="G54" s="143"/>
      <c r="H54" s="81"/>
      <c r="I54" s="71"/>
      <c r="J54" s="82"/>
      <c r="K54" s="82"/>
      <c r="L54" s="83"/>
      <c r="M54" s="305"/>
      <c r="N54" s="309"/>
      <c r="O54" s="306"/>
      <c r="P54" s="306"/>
      <c r="Q54" s="167"/>
      <c r="R54" s="279"/>
      <c r="S54" s="279"/>
      <c r="T54" s="279"/>
    </row>
    <row r="55" spans="1:20" ht="18" customHeight="1" thickBot="1" x14ac:dyDescent="0.3">
      <c r="A55" s="66"/>
      <c r="B55" s="66"/>
      <c r="C55" s="178" t="s">
        <v>220</v>
      </c>
      <c r="D55" s="179"/>
      <c r="E55" s="147"/>
      <c r="F55" s="148"/>
      <c r="G55" s="180"/>
      <c r="H55" s="181"/>
      <c r="I55" s="155"/>
      <c r="J55" s="156"/>
      <c r="K55" s="156"/>
      <c r="L55" s="182"/>
      <c r="M55" s="165"/>
      <c r="N55" s="310"/>
      <c r="O55" s="311"/>
      <c r="P55" s="311"/>
      <c r="Q55" s="168"/>
      <c r="R55" s="279"/>
      <c r="S55" s="279"/>
      <c r="T55" s="279"/>
    </row>
    <row r="56" spans="1:20" ht="20.100000000000001" customHeight="1" thickBot="1" x14ac:dyDescent="0.3">
      <c r="A56" s="66"/>
      <c r="B56" s="66"/>
      <c r="C56" s="261" t="s">
        <v>1</v>
      </c>
      <c r="D56" s="259">
        <f>D46+D47+D48+D49+D50+D51+D52+D53+D54+D55</f>
        <v>0</v>
      </c>
      <c r="E56" s="259">
        <f t="shared" ref="E56:M56" si="2">E46+E47+E48+E49+E50+E51+E52+E53+E54+E55</f>
        <v>0</v>
      </c>
      <c r="F56" s="259">
        <f t="shared" si="2"/>
        <v>0</v>
      </c>
      <c r="G56" s="259">
        <f t="shared" si="2"/>
        <v>0</v>
      </c>
      <c r="H56" s="259">
        <f t="shared" si="2"/>
        <v>0</v>
      </c>
      <c r="I56" s="259">
        <f t="shared" si="2"/>
        <v>0</v>
      </c>
      <c r="J56" s="259">
        <f t="shared" si="2"/>
        <v>0</v>
      </c>
      <c r="K56" s="259">
        <f t="shared" si="2"/>
        <v>0</v>
      </c>
      <c r="L56" s="259">
        <f t="shared" si="2"/>
        <v>0</v>
      </c>
      <c r="M56" s="259">
        <f t="shared" si="2"/>
        <v>0</v>
      </c>
      <c r="N56" s="259">
        <f>N46+N47+N48+N49+N50+N51+N52+N53+N54+N55</f>
        <v>0</v>
      </c>
      <c r="O56" s="260">
        <f>O46+O47+O48+O49+O50+O51+O52+O53+O54+O55</f>
        <v>0</v>
      </c>
      <c r="P56" s="259">
        <f>P46+P47+P48+P49+P50+P51+P52+P53+P54+P55</f>
        <v>0</v>
      </c>
      <c r="Q56" s="260">
        <f>Q46+Q47+Q48+Q49+Q50+Q51+Q52+Q53+Q54+Q55</f>
        <v>0</v>
      </c>
      <c r="R56" s="279"/>
      <c r="S56" s="279"/>
      <c r="T56" s="279"/>
    </row>
    <row r="57" spans="1:20" ht="15.75" customHeight="1" thickBot="1" x14ac:dyDescent="0.3">
      <c r="A57" s="36"/>
      <c r="B57" s="66"/>
      <c r="C57" s="557" t="s">
        <v>351</v>
      </c>
      <c r="D57" s="558"/>
      <c r="E57" s="558"/>
      <c r="F57" s="558"/>
      <c r="G57" s="559"/>
      <c r="H57" s="546" t="str">
        <f>IF(H59&lt;0,"RESPOSTAS EM BRANCO",IF((H59&gt;0),"MAIS DE UMA RESPOSTA POR FUNCIONÁRIO",IF((H59=0),"NÃO POSSUI ERROS DE PREENCHIMENTO")))</f>
        <v>NÃO POSSUI ERROS DE PREENCHIMENTO</v>
      </c>
      <c r="I57" s="547"/>
      <c r="J57" s="547"/>
      <c r="K57" s="547"/>
      <c r="L57" s="547"/>
      <c r="M57" s="547"/>
      <c r="N57" s="547"/>
      <c r="O57" s="547"/>
      <c r="P57" s="547"/>
      <c r="Q57" s="548"/>
      <c r="R57" s="279"/>
      <c r="S57" s="279"/>
      <c r="T57" s="279"/>
    </row>
    <row r="58" spans="1:20" ht="15.75" hidden="1" thickBot="1" x14ac:dyDescent="0.3">
      <c r="A58" s="36"/>
      <c r="B58" s="36"/>
      <c r="C58" s="36"/>
      <c r="D58" s="523">
        <f>(D56+E56+F56+G56)-SOCIODEMOGRÁFICA!B20</f>
        <v>0</v>
      </c>
      <c r="E58" s="524"/>
      <c r="F58" s="524"/>
      <c r="G58" s="524"/>
      <c r="H58" s="523">
        <f>(H56+I56+J56+K56)-SOCIODEMOGRÁFICA!B20</f>
        <v>0</v>
      </c>
      <c r="I58" s="524"/>
      <c r="J58" s="524"/>
      <c r="K58" s="524"/>
      <c r="L58" s="523">
        <f>(L56+M56)-SOCIODEMOGRÁFICA!B20</f>
        <v>0</v>
      </c>
      <c r="M58" s="525"/>
      <c r="N58" s="523">
        <f>(N56+O56+P56+Q56)-SOCIODEMOGRÁFICA!B20</f>
        <v>0</v>
      </c>
      <c r="O58" s="524"/>
      <c r="P58" s="524"/>
      <c r="Q58" s="525"/>
      <c r="R58" s="279"/>
      <c r="S58" s="279"/>
      <c r="T58" s="279"/>
    </row>
    <row r="59" spans="1:20" ht="15.75" hidden="1" thickBot="1" x14ac:dyDescent="0.3">
      <c r="A59" s="36"/>
      <c r="B59" s="66"/>
      <c r="C59" s="36"/>
      <c r="D59" s="129"/>
      <c r="E59" s="129"/>
      <c r="F59" s="129"/>
      <c r="G59" s="129"/>
      <c r="H59" s="129">
        <f>(D58+H58+L58+N58)</f>
        <v>0</v>
      </c>
      <c r="I59" s="129"/>
      <c r="J59" s="129"/>
      <c r="K59" s="129"/>
      <c r="L59" s="129"/>
      <c r="M59" s="129"/>
      <c r="N59" s="129"/>
      <c r="O59" s="129"/>
      <c r="P59" s="66"/>
      <c r="Q59" s="66"/>
      <c r="R59" s="279"/>
      <c r="S59" s="279"/>
      <c r="T59" s="279"/>
    </row>
    <row r="60" spans="1:20" hidden="1" x14ac:dyDescent="0.25">
      <c r="A60" s="36"/>
      <c r="B60" s="66"/>
      <c r="C60" s="36"/>
      <c r="D60" s="437"/>
      <c r="E60" s="437"/>
      <c r="F60" s="437"/>
      <c r="G60" s="437" t="e">
        <f>(F56+G56)/SOCIODEMOGRÁFICA!B20</f>
        <v>#DIV/0!</v>
      </c>
      <c r="H60" s="437"/>
      <c r="I60" s="437"/>
      <c r="J60" s="437"/>
      <c r="K60" s="437" t="e">
        <f>(J56+K56)/SOCIODEMOGRÁFICA!B20</f>
        <v>#DIV/0!</v>
      </c>
      <c r="L60" s="437"/>
      <c r="M60" s="437" t="e">
        <f>L56/SOCIODEMOGRÁFICA!B20</f>
        <v>#DIV/0!</v>
      </c>
      <c r="N60" s="437" t="e">
        <f>(N56+O56+P56)/SOCIODEMOGRÁFICA!B20</f>
        <v>#DIV/0!</v>
      </c>
      <c r="O60" s="437"/>
      <c r="P60" s="437"/>
      <c r="Q60" s="437"/>
      <c r="R60" s="451" t="e">
        <f>(G60+K60+M60+N60)</f>
        <v>#DIV/0!</v>
      </c>
      <c r="S60" s="489" t="e">
        <f>G60+K60+M60+N60</f>
        <v>#DIV/0!</v>
      </c>
      <c r="T60" s="279"/>
    </row>
    <row r="61" spans="1:20" ht="15.75" thickBot="1" x14ac:dyDescent="0.3">
      <c r="A61" s="54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279"/>
      <c r="S61" s="279"/>
      <c r="T61" s="279"/>
    </row>
    <row r="62" spans="1:20" ht="20.100000000000001" customHeight="1" thickBot="1" x14ac:dyDescent="0.3">
      <c r="A62" s="54"/>
      <c r="B62" s="66"/>
      <c r="C62" s="533" t="s">
        <v>424</v>
      </c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5"/>
      <c r="P62" s="66"/>
      <c r="Q62" s="66"/>
      <c r="R62" s="279"/>
      <c r="S62" s="279"/>
      <c r="T62" s="279"/>
    </row>
    <row r="63" spans="1:20" ht="31.5" customHeight="1" thickBot="1" x14ac:dyDescent="0.3">
      <c r="A63" s="66"/>
      <c r="B63" s="66"/>
      <c r="C63" s="544" t="s">
        <v>342</v>
      </c>
      <c r="D63" s="529" t="s">
        <v>229</v>
      </c>
      <c r="E63" s="530"/>
      <c r="F63" s="530"/>
      <c r="G63" s="553"/>
      <c r="H63" s="560" t="s">
        <v>233</v>
      </c>
      <c r="I63" s="530"/>
      <c r="J63" s="530"/>
      <c r="K63" s="531"/>
      <c r="L63" s="529" t="s">
        <v>255</v>
      </c>
      <c r="M63" s="530"/>
      <c r="N63" s="530"/>
      <c r="O63" s="531"/>
      <c r="P63" s="66"/>
      <c r="Q63" s="66"/>
      <c r="R63" s="279"/>
      <c r="S63" s="279"/>
      <c r="T63" s="279"/>
    </row>
    <row r="64" spans="1:20" ht="29.25" customHeight="1" thickBot="1" x14ac:dyDescent="0.3">
      <c r="A64" s="66"/>
      <c r="B64" s="66"/>
      <c r="C64" s="512"/>
      <c r="D64" s="280" t="s">
        <v>230</v>
      </c>
      <c r="E64" s="268" t="s">
        <v>231</v>
      </c>
      <c r="F64" s="268" t="s">
        <v>228</v>
      </c>
      <c r="G64" s="271" t="s">
        <v>396</v>
      </c>
      <c r="H64" s="272" t="s">
        <v>234</v>
      </c>
      <c r="I64" s="274" t="s">
        <v>383</v>
      </c>
      <c r="J64" s="274" t="s">
        <v>231</v>
      </c>
      <c r="K64" s="271" t="s">
        <v>396</v>
      </c>
      <c r="L64" s="272" t="s">
        <v>384</v>
      </c>
      <c r="M64" s="274" t="s">
        <v>256</v>
      </c>
      <c r="N64" s="322" t="s">
        <v>401</v>
      </c>
      <c r="O64" s="271" t="s">
        <v>396</v>
      </c>
      <c r="P64" s="66"/>
      <c r="Q64" s="66"/>
      <c r="R64" s="279"/>
      <c r="S64" s="279"/>
      <c r="T64" s="279"/>
    </row>
    <row r="65" spans="1:20" ht="29.25" customHeight="1" thickBot="1" x14ac:dyDescent="0.3">
      <c r="A65" s="66"/>
      <c r="B65" s="66"/>
      <c r="C65" s="526" t="s">
        <v>402</v>
      </c>
      <c r="D65" s="527"/>
      <c r="E65" s="527"/>
      <c r="F65" s="527"/>
      <c r="G65" s="527"/>
      <c r="H65" s="527"/>
      <c r="I65" s="527"/>
      <c r="J65" s="527"/>
      <c r="K65" s="527"/>
      <c r="L65" s="527"/>
      <c r="M65" s="527"/>
      <c r="N65" s="527"/>
      <c r="O65" s="528"/>
      <c r="P65" s="66"/>
      <c r="Q65" s="66"/>
      <c r="R65" s="279"/>
      <c r="S65" s="279"/>
      <c r="T65" s="279"/>
    </row>
    <row r="66" spans="1:20" ht="18" customHeight="1" x14ac:dyDescent="0.25">
      <c r="A66" s="66"/>
      <c r="B66" s="66"/>
      <c r="C66" s="73" t="s">
        <v>200</v>
      </c>
      <c r="D66" s="262"/>
      <c r="E66" s="144"/>
      <c r="F66" s="145"/>
      <c r="G66" s="263"/>
      <c r="H66" s="79"/>
      <c r="I66" s="67"/>
      <c r="J66" s="76"/>
      <c r="K66" s="76"/>
      <c r="L66" s="158"/>
      <c r="M66" s="161"/>
      <c r="N66" s="161"/>
      <c r="O66" s="159"/>
      <c r="P66" s="66"/>
      <c r="Q66" s="66"/>
      <c r="R66" s="279"/>
      <c r="S66" s="279"/>
      <c r="T66" s="279"/>
    </row>
    <row r="67" spans="1:20" ht="18" customHeight="1" x14ac:dyDescent="0.25">
      <c r="A67" s="66"/>
      <c r="B67" s="66"/>
      <c r="C67" s="57" t="s">
        <v>212</v>
      </c>
      <c r="D67" s="136"/>
      <c r="E67" s="137"/>
      <c r="F67" s="138"/>
      <c r="G67" s="139"/>
      <c r="H67" s="80"/>
      <c r="I67" s="69"/>
      <c r="J67" s="77"/>
      <c r="K67" s="77"/>
      <c r="L67" s="60"/>
      <c r="M67" s="55"/>
      <c r="N67" s="55"/>
      <c r="O67" s="56"/>
      <c r="P67" s="66"/>
      <c r="Q67" s="66"/>
      <c r="R67" s="279"/>
      <c r="S67" s="279"/>
      <c r="T67" s="279"/>
    </row>
    <row r="68" spans="1:20" ht="18" customHeight="1" x14ac:dyDescent="0.25">
      <c r="A68" s="66"/>
      <c r="B68" s="66"/>
      <c r="C68" s="57" t="s">
        <v>213</v>
      </c>
      <c r="D68" s="136"/>
      <c r="E68" s="137"/>
      <c r="F68" s="138"/>
      <c r="G68" s="139"/>
      <c r="H68" s="80"/>
      <c r="I68" s="69"/>
      <c r="J68" s="77"/>
      <c r="K68" s="77"/>
      <c r="L68" s="60"/>
      <c r="M68" s="55"/>
      <c r="N68" s="55"/>
      <c r="O68" s="56"/>
      <c r="P68" s="66"/>
      <c r="Q68" s="66"/>
      <c r="R68" s="279"/>
      <c r="S68" s="279"/>
      <c r="T68" s="279"/>
    </row>
    <row r="69" spans="1:20" ht="18" customHeight="1" x14ac:dyDescent="0.25">
      <c r="A69" s="66"/>
      <c r="B69" s="66"/>
      <c r="C69" s="57" t="s">
        <v>214</v>
      </c>
      <c r="D69" s="136"/>
      <c r="E69" s="137"/>
      <c r="F69" s="138"/>
      <c r="G69" s="139"/>
      <c r="H69" s="80"/>
      <c r="I69" s="69"/>
      <c r="J69" s="77"/>
      <c r="K69" s="77"/>
      <c r="L69" s="60"/>
      <c r="M69" s="55"/>
      <c r="N69" s="55"/>
      <c r="O69" s="56"/>
      <c r="P69" s="66"/>
      <c r="Q69" s="66"/>
      <c r="R69" s="279"/>
      <c r="S69" s="279"/>
      <c r="T69" s="279"/>
    </row>
    <row r="70" spans="1:20" ht="18" customHeight="1" x14ac:dyDescent="0.25">
      <c r="A70" s="66"/>
      <c r="B70" s="66"/>
      <c r="C70" s="57" t="s">
        <v>215</v>
      </c>
      <c r="D70" s="140"/>
      <c r="E70" s="141"/>
      <c r="F70" s="142"/>
      <c r="G70" s="143"/>
      <c r="H70" s="81"/>
      <c r="I70" s="71"/>
      <c r="J70" s="82"/>
      <c r="K70" s="82"/>
      <c r="L70" s="60"/>
      <c r="M70" s="55"/>
      <c r="N70" s="55"/>
      <c r="O70" s="56"/>
      <c r="P70" s="66"/>
      <c r="Q70" s="66"/>
      <c r="R70" s="279"/>
      <c r="S70" s="279"/>
      <c r="T70" s="279"/>
    </row>
    <row r="71" spans="1:20" ht="18" customHeight="1" x14ac:dyDescent="0.25">
      <c r="A71" s="66"/>
      <c r="B71" s="66"/>
      <c r="C71" s="57" t="s">
        <v>216</v>
      </c>
      <c r="D71" s="140"/>
      <c r="E71" s="141"/>
      <c r="F71" s="142"/>
      <c r="G71" s="143"/>
      <c r="H71" s="81"/>
      <c r="I71" s="71"/>
      <c r="J71" s="82"/>
      <c r="K71" s="82"/>
      <c r="L71" s="60"/>
      <c r="M71" s="55"/>
      <c r="N71" s="55"/>
      <c r="O71" s="56"/>
      <c r="P71" s="66"/>
      <c r="Q71" s="66"/>
      <c r="R71" s="279"/>
      <c r="S71" s="279"/>
      <c r="T71" s="279"/>
    </row>
    <row r="72" spans="1:20" ht="18" customHeight="1" x14ac:dyDescent="0.25">
      <c r="A72" s="66"/>
      <c r="B72" s="66"/>
      <c r="C72" s="57" t="s">
        <v>217</v>
      </c>
      <c r="D72" s="140"/>
      <c r="E72" s="141"/>
      <c r="F72" s="142"/>
      <c r="G72" s="143"/>
      <c r="H72" s="81"/>
      <c r="I72" s="71"/>
      <c r="J72" s="82"/>
      <c r="K72" s="82"/>
      <c r="L72" s="60"/>
      <c r="M72" s="55"/>
      <c r="N72" s="55"/>
      <c r="O72" s="56"/>
      <c r="P72" s="66"/>
      <c r="Q72" s="66"/>
      <c r="R72" s="279"/>
      <c r="S72" s="279"/>
      <c r="T72" s="279"/>
    </row>
    <row r="73" spans="1:20" ht="18" customHeight="1" x14ac:dyDescent="0.25">
      <c r="A73" s="66"/>
      <c r="B73" s="66"/>
      <c r="C73" s="57" t="s">
        <v>218</v>
      </c>
      <c r="D73" s="140"/>
      <c r="E73" s="141"/>
      <c r="F73" s="142"/>
      <c r="G73" s="143"/>
      <c r="H73" s="81"/>
      <c r="I73" s="71"/>
      <c r="J73" s="82"/>
      <c r="K73" s="82"/>
      <c r="L73" s="60"/>
      <c r="M73" s="55"/>
      <c r="N73" s="55"/>
      <c r="O73" s="56"/>
      <c r="P73" s="66"/>
      <c r="Q73" s="66"/>
      <c r="R73" s="279"/>
      <c r="S73" s="279"/>
      <c r="T73" s="279"/>
    </row>
    <row r="74" spans="1:20" ht="18" customHeight="1" x14ac:dyDescent="0.25">
      <c r="A74" s="66"/>
      <c r="B74" s="66"/>
      <c r="C74" s="57" t="s">
        <v>219</v>
      </c>
      <c r="D74" s="140"/>
      <c r="E74" s="141"/>
      <c r="F74" s="142"/>
      <c r="G74" s="143"/>
      <c r="H74" s="81"/>
      <c r="I74" s="71"/>
      <c r="J74" s="82"/>
      <c r="K74" s="82"/>
      <c r="L74" s="60"/>
      <c r="M74" s="55"/>
      <c r="N74" s="55"/>
      <c r="O74" s="56"/>
      <c r="P74" s="66"/>
      <c r="Q74" s="66"/>
      <c r="R74" s="279"/>
      <c r="S74" s="279"/>
      <c r="T74" s="279"/>
    </row>
    <row r="75" spans="1:20" ht="18" customHeight="1" thickBot="1" x14ac:dyDescent="0.3">
      <c r="A75" s="66"/>
      <c r="B75" s="66"/>
      <c r="C75" s="178" t="s">
        <v>220</v>
      </c>
      <c r="D75" s="179"/>
      <c r="E75" s="147"/>
      <c r="F75" s="148"/>
      <c r="G75" s="180"/>
      <c r="H75" s="181"/>
      <c r="I75" s="155"/>
      <c r="J75" s="156"/>
      <c r="K75" s="156"/>
      <c r="L75" s="63"/>
      <c r="M75" s="64"/>
      <c r="N75" s="64"/>
      <c r="O75" s="65"/>
      <c r="P75" s="66"/>
      <c r="Q75" s="66"/>
      <c r="R75" s="279"/>
      <c r="S75" s="279"/>
      <c r="T75" s="279"/>
    </row>
    <row r="76" spans="1:20" ht="20.100000000000001" customHeight="1" thickBot="1" x14ac:dyDescent="0.3">
      <c r="A76" s="66"/>
      <c r="B76" s="66"/>
      <c r="C76" s="261" t="s">
        <v>1</v>
      </c>
      <c r="D76" s="259">
        <f t="shared" ref="D76:O76" si="3">D66+D67+D68+D69+D70+D71+D72+D73+D74+D75</f>
        <v>0</v>
      </c>
      <c r="E76" s="259">
        <f t="shared" si="3"/>
        <v>0</v>
      </c>
      <c r="F76" s="259">
        <f t="shared" si="3"/>
        <v>0</v>
      </c>
      <c r="G76" s="259">
        <f t="shared" si="3"/>
        <v>0</v>
      </c>
      <c r="H76" s="259">
        <f t="shared" si="3"/>
        <v>0</v>
      </c>
      <c r="I76" s="259">
        <f t="shared" si="3"/>
        <v>0</v>
      </c>
      <c r="J76" s="259">
        <f t="shared" si="3"/>
        <v>0</v>
      </c>
      <c r="K76" s="275">
        <f t="shared" si="3"/>
        <v>0</v>
      </c>
      <c r="L76" s="276">
        <f t="shared" si="3"/>
        <v>0</v>
      </c>
      <c r="M76" s="277">
        <f t="shared" si="3"/>
        <v>0</v>
      </c>
      <c r="N76" s="277">
        <f t="shared" si="3"/>
        <v>0</v>
      </c>
      <c r="O76" s="278">
        <f t="shared" si="3"/>
        <v>0</v>
      </c>
      <c r="P76" s="66"/>
      <c r="Q76" s="66"/>
      <c r="R76" s="279"/>
      <c r="S76" s="279"/>
      <c r="T76" s="279"/>
    </row>
    <row r="77" spans="1:20" ht="15.75" customHeight="1" thickBot="1" x14ac:dyDescent="0.3">
      <c r="A77" s="36"/>
      <c r="B77" s="66"/>
      <c r="C77" s="557" t="s">
        <v>351</v>
      </c>
      <c r="D77" s="558"/>
      <c r="E77" s="558"/>
      <c r="F77" s="558"/>
      <c r="G77" s="559"/>
      <c r="H77" s="546" t="str">
        <f>IF(H79&lt;0,"RESPOSTAS EM BRANCO",IF((H79&gt;0),"MAIS DE UMA RESPOSTA POR FUNCIONÁRIO",IF((H79=0),"NÃO POSSUI ERROS DE PREENCHIMENTO")))</f>
        <v>NÃO POSSUI ERROS DE PREENCHIMENTO</v>
      </c>
      <c r="I77" s="547"/>
      <c r="J77" s="547"/>
      <c r="K77" s="547"/>
      <c r="L77" s="547"/>
      <c r="M77" s="547"/>
      <c r="N77" s="547"/>
      <c r="O77" s="548"/>
      <c r="P77" s="66"/>
      <c r="Q77" s="66"/>
      <c r="R77" s="279"/>
      <c r="S77" s="279"/>
      <c r="T77" s="279"/>
    </row>
    <row r="78" spans="1:20" ht="15.75" hidden="1" customHeight="1" thickBot="1" x14ac:dyDescent="0.3">
      <c r="A78" s="36"/>
      <c r="B78" s="36"/>
      <c r="C78" s="36"/>
      <c r="D78" s="523">
        <f>(D76+E76+F76+G76)-SOCIODEMOGRÁFICA!B20</f>
        <v>0</v>
      </c>
      <c r="E78" s="524"/>
      <c r="F78" s="524"/>
      <c r="G78" s="524"/>
      <c r="H78" s="523">
        <f>(H76+I76+J76+K76)-SOCIODEMOGRÁFICA!B20</f>
        <v>0</v>
      </c>
      <c r="I78" s="524"/>
      <c r="J78" s="524"/>
      <c r="K78" s="524"/>
      <c r="L78" s="523">
        <f>(L76+M76+N76+O76)-SOCIODEMOGRÁFICA!B20</f>
        <v>0</v>
      </c>
      <c r="M78" s="524"/>
      <c r="N78" s="524"/>
      <c r="O78" s="525"/>
      <c r="P78" s="66"/>
      <c r="Q78" s="66"/>
      <c r="R78" s="279"/>
      <c r="S78" s="279"/>
      <c r="T78" s="279"/>
    </row>
    <row r="79" spans="1:20" ht="15.75" hidden="1" thickBot="1" x14ac:dyDescent="0.3">
      <c r="A79" s="36"/>
      <c r="B79" s="66"/>
      <c r="C79" s="36"/>
      <c r="D79" s="129"/>
      <c r="E79" s="129"/>
      <c r="F79" s="129"/>
      <c r="G79" s="129"/>
      <c r="H79" s="129">
        <f>(D78+H78+L78+N78)</f>
        <v>0</v>
      </c>
      <c r="I79" s="129"/>
      <c r="J79" s="129"/>
      <c r="K79" s="129"/>
      <c r="L79" s="129"/>
      <c r="M79" s="129"/>
      <c r="N79" s="129"/>
      <c r="O79" s="129"/>
      <c r="P79" s="66"/>
      <c r="Q79" s="66"/>
      <c r="R79" s="279"/>
      <c r="S79" s="279"/>
      <c r="T79" s="279"/>
    </row>
    <row r="80" spans="1:20" hidden="1" x14ac:dyDescent="0.25">
      <c r="A80" s="36"/>
      <c r="B80" s="66"/>
      <c r="C80" s="36"/>
      <c r="D80" s="437"/>
      <c r="E80" s="437"/>
      <c r="F80" s="437"/>
      <c r="G80" s="437" t="e">
        <f>(D76+E76+F76+G76)/SOCIODEMOGRÁFICA!B20</f>
        <v>#DIV/0!</v>
      </c>
      <c r="H80" s="437"/>
      <c r="I80" s="437"/>
      <c r="J80" s="437"/>
      <c r="K80" s="437" t="e">
        <f>(H76+I76+J76+K76)/SOCIODEMOGRÁFICA!B20</f>
        <v>#DIV/0!</v>
      </c>
      <c r="L80" s="437"/>
      <c r="M80" s="437"/>
      <c r="N80" s="437"/>
      <c r="O80" s="437" t="e">
        <f>(L76)/SOCIODEMOGRÁFICA!B20</f>
        <v>#DIV/0!</v>
      </c>
      <c r="P80" s="450" t="e">
        <f>(G80+K80+O80)</f>
        <v>#DIV/0!</v>
      </c>
      <c r="Q80" s="488" t="e">
        <f>G80+K80+O80</f>
        <v>#DIV/0!</v>
      </c>
      <c r="R80" s="279"/>
      <c r="S80" s="279"/>
      <c r="T80" s="279"/>
    </row>
    <row r="81" spans="1:20" ht="15.75" thickBot="1" x14ac:dyDescent="0.3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279"/>
      <c r="S81" s="279"/>
      <c r="T81" s="279"/>
    </row>
    <row r="82" spans="1:20" ht="20.100000000000001" customHeight="1" thickBot="1" x14ac:dyDescent="0.3">
      <c r="A82" s="66"/>
      <c r="B82" s="66"/>
      <c r="C82" s="533" t="s">
        <v>423</v>
      </c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5"/>
      <c r="P82" s="66"/>
      <c r="Q82" s="66"/>
      <c r="R82" s="279"/>
      <c r="S82" s="279"/>
      <c r="T82" s="279"/>
    </row>
    <row r="83" spans="1:20" ht="15" customHeight="1" thickBot="1" x14ac:dyDescent="0.3">
      <c r="A83" s="66"/>
      <c r="B83" s="66"/>
      <c r="C83" s="532" t="s">
        <v>342</v>
      </c>
      <c r="D83" s="536" t="s">
        <v>252</v>
      </c>
      <c r="E83" s="537"/>
      <c r="F83" s="537"/>
      <c r="G83" s="537"/>
      <c r="H83" s="537"/>
      <c r="I83" s="537"/>
      <c r="J83" s="537"/>
      <c r="K83" s="537"/>
      <c r="L83" s="537"/>
      <c r="M83" s="537"/>
      <c r="N83" s="537"/>
      <c r="O83" s="538"/>
      <c r="P83" s="66"/>
      <c r="Q83" s="66"/>
      <c r="R83" s="279"/>
      <c r="S83" s="279"/>
      <c r="T83" s="279"/>
    </row>
    <row r="84" spans="1:20" ht="26.25" customHeight="1" thickBot="1" x14ac:dyDescent="0.3">
      <c r="A84" s="66"/>
      <c r="B84" s="66"/>
      <c r="C84" s="532"/>
      <c r="D84" s="285" t="s">
        <v>253</v>
      </c>
      <c r="E84" s="238" t="s">
        <v>254</v>
      </c>
      <c r="F84" s="86" t="s">
        <v>24</v>
      </c>
      <c r="G84" s="286" t="s">
        <v>396</v>
      </c>
      <c r="H84" s="287"/>
      <c r="I84" s="288"/>
      <c r="J84" s="288"/>
      <c r="K84" s="288"/>
      <c r="L84" s="285" t="s">
        <v>253</v>
      </c>
      <c r="M84" s="238" t="s">
        <v>254</v>
      </c>
      <c r="N84" s="86" t="s">
        <v>24</v>
      </c>
      <c r="O84" s="286" t="s">
        <v>396</v>
      </c>
      <c r="P84" s="66"/>
      <c r="Q84" s="66"/>
      <c r="R84" s="279"/>
      <c r="S84" s="279"/>
      <c r="T84" s="279"/>
    </row>
    <row r="85" spans="1:20" ht="19.5" customHeight="1" thickBot="1" x14ac:dyDescent="0.3">
      <c r="A85" s="66"/>
      <c r="B85" s="66"/>
      <c r="C85" s="526" t="s">
        <v>403</v>
      </c>
      <c r="D85" s="527"/>
      <c r="E85" s="527"/>
      <c r="F85" s="527"/>
      <c r="G85" s="527"/>
      <c r="H85" s="527"/>
      <c r="I85" s="527"/>
      <c r="J85" s="527"/>
      <c r="K85" s="527"/>
      <c r="L85" s="527"/>
      <c r="M85" s="527"/>
      <c r="N85" s="527"/>
      <c r="O85" s="528"/>
      <c r="P85" s="66"/>
      <c r="Q85" s="66"/>
      <c r="R85" s="279"/>
      <c r="S85" s="279"/>
      <c r="T85" s="279"/>
    </row>
    <row r="86" spans="1:20" ht="18" customHeight="1" x14ac:dyDescent="0.25">
      <c r="A86" s="66"/>
      <c r="B86" s="66"/>
      <c r="C86" s="73" t="s">
        <v>200</v>
      </c>
      <c r="D86" s="130"/>
      <c r="E86" s="144"/>
      <c r="F86" s="145"/>
      <c r="G86" s="131"/>
      <c r="H86" s="291"/>
      <c r="I86" s="291"/>
      <c r="J86" s="539" t="s">
        <v>216</v>
      </c>
      <c r="K86" s="539"/>
      <c r="L86" s="292"/>
      <c r="M86" s="293"/>
      <c r="N86" s="239"/>
      <c r="O86" s="294"/>
      <c r="P86" s="66"/>
      <c r="Q86" s="66"/>
      <c r="R86" s="279"/>
      <c r="S86" s="279"/>
      <c r="T86" s="279"/>
    </row>
    <row r="87" spans="1:20" ht="18" customHeight="1" x14ac:dyDescent="0.25">
      <c r="A87" s="66"/>
      <c r="B87" s="66"/>
      <c r="C87" s="57" t="s">
        <v>212</v>
      </c>
      <c r="D87" s="132"/>
      <c r="E87" s="137"/>
      <c r="F87" s="138"/>
      <c r="G87" s="133"/>
      <c r="H87" s="289"/>
      <c r="I87" s="289"/>
      <c r="J87" s="540" t="s">
        <v>217</v>
      </c>
      <c r="K87" s="540"/>
      <c r="L87" s="290"/>
      <c r="M87" s="141"/>
      <c r="N87" s="142"/>
      <c r="O87" s="135"/>
      <c r="P87" s="66"/>
      <c r="Q87" s="66"/>
      <c r="R87" s="279"/>
      <c r="S87" s="279"/>
      <c r="T87" s="279"/>
    </row>
    <row r="88" spans="1:20" ht="18" customHeight="1" x14ac:dyDescent="0.25">
      <c r="A88" s="66"/>
      <c r="B88" s="66"/>
      <c r="C88" s="57" t="s">
        <v>213</v>
      </c>
      <c r="D88" s="132"/>
      <c r="E88" s="137"/>
      <c r="F88" s="138"/>
      <c r="G88" s="133"/>
      <c r="H88" s="289"/>
      <c r="I88" s="289"/>
      <c r="J88" s="540" t="s">
        <v>218</v>
      </c>
      <c r="K88" s="540"/>
      <c r="L88" s="290"/>
      <c r="M88" s="141"/>
      <c r="N88" s="142"/>
      <c r="O88" s="135"/>
      <c r="P88" s="66"/>
      <c r="Q88" s="66"/>
      <c r="R88" s="279"/>
      <c r="S88" s="279"/>
      <c r="T88" s="279"/>
    </row>
    <row r="89" spans="1:20" ht="18" customHeight="1" x14ac:dyDescent="0.25">
      <c r="A89" s="66"/>
      <c r="B89" s="66"/>
      <c r="C89" s="57" t="s">
        <v>214</v>
      </c>
      <c r="D89" s="132"/>
      <c r="E89" s="137"/>
      <c r="F89" s="138"/>
      <c r="G89" s="133"/>
      <c r="H89" s="289"/>
      <c r="I89" s="289"/>
      <c r="J89" s="540" t="s">
        <v>219</v>
      </c>
      <c r="K89" s="540"/>
      <c r="L89" s="290"/>
      <c r="M89" s="141"/>
      <c r="N89" s="142"/>
      <c r="O89" s="135"/>
      <c r="P89" s="66"/>
      <c r="Q89" s="66"/>
      <c r="R89" s="279"/>
      <c r="S89" s="279"/>
      <c r="T89" s="279"/>
    </row>
    <row r="90" spans="1:20" ht="18" customHeight="1" thickBot="1" x14ac:dyDescent="0.3">
      <c r="A90" s="66"/>
      <c r="B90" s="66"/>
      <c r="C90" s="302" t="s">
        <v>215</v>
      </c>
      <c r="D90" s="134"/>
      <c r="E90" s="141"/>
      <c r="F90" s="142"/>
      <c r="G90" s="135"/>
      <c r="H90" s="289"/>
      <c r="I90" s="289"/>
      <c r="J90" s="541" t="s">
        <v>220</v>
      </c>
      <c r="K90" s="541"/>
      <c r="L90" s="245"/>
      <c r="M90" s="147"/>
      <c r="N90" s="148"/>
      <c r="O90" s="149"/>
      <c r="P90" s="66"/>
      <c r="Q90" s="66"/>
      <c r="R90" s="279"/>
      <c r="S90" s="279"/>
      <c r="T90" s="279"/>
    </row>
    <row r="91" spans="1:20" ht="15" customHeight="1" thickBot="1" x14ac:dyDescent="0.3">
      <c r="A91" s="66"/>
      <c r="B91" s="66"/>
      <c r="C91" s="297"/>
      <c r="D91" s="295"/>
      <c r="E91" s="295"/>
      <c r="F91" s="295"/>
      <c r="G91" s="296"/>
      <c r="H91" s="289"/>
      <c r="I91" s="289"/>
      <c r="J91" s="542" t="s">
        <v>1</v>
      </c>
      <c r="K91" s="543"/>
      <c r="L91" s="259">
        <f>L86+L87+L88+L89+L90+D86+D87+D88+D89+D90</f>
        <v>0</v>
      </c>
      <c r="M91" s="259">
        <f>M86+M87+M88+M89+M90+E86+E87+E88+E89+E90</f>
        <v>0</v>
      </c>
      <c r="N91" s="259">
        <f>N86+N87+N88+N89+N90+F86+F87+F88+F89+F90</f>
        <v>0</v>
      </c>
      <c r="O91" s="259">
        <f>O86+O87+O88+O89+O90+G86+G87+G88+G89+G90</f>
        <v>0</v>
      </c>
      <c r="P91" s="66"/>
      <c r="Q91" s="66"/>
      <c r="R91" s="279"/>
      <c r="S91" s="279"/>
      <c r="T91" s="279"/>
    </row>
    <row r="92" spans="1:20" ht="15.75" customHeight="1" thickBot="1" x14ac:dyDescent="0.3">
      <c r="A92" s="36"/>
      <c r="B92" s="66"/>
      <c r="C92" s="557" t="s">
        <v>351</v>
      </c>
      <c r="D92" s="558"/>
      <c r="E92" s="558"/>
      <c r="F92" s="558"/>
      <c r="G92" s="559"/>
      <c r="H92" s="546" t="str">
        <f>IF(H94&lt;0,"RESPOSTAS EM BRANCO",IF((H94&gt;0),"MAIS DE UMA RESPOSTA POR FUNCIONÁRIO",IF((H94=0),"NÃO POSSUI ERROS DE PREENCHIMENTO")))</f>
        <v>NÃO POSSUI ERROS DE PREENCHIMENTO</v>
      </c>
      <c r="I92" s="547"/>
      <c r="J92" s="547"/>
      <c r="K92" s="547"/>
      <c r="L92" s="547"/>
      <c r="M92" s="547"/>
      <c r="N92" s="547"/>
      <c r="O92" s="548"/>
      <c r="P92" s="279"/>
      <c r="Q92" s="279"/>
      <c r="R92" s="279"/>
      <c r="S92" s="279"/>
      <c r="T92" s="279"/>
    </row>
    <row r="93" spans="1:20" ht="15.75" hidden="1" customHeight="1" thickBot="1" x14ac:dyDescent="0.3">
      <c r="A93" s="36"/>
      <c r="B93" s="36"/>
      <c r="C93" s="36"/>
      <c r="D93" s="523"/>
      <c r="E93" s="524"/>
      <c r="F93" s="524"/>
      <c r="G93" s="525"/>
      <c r="H93" s="523"/>
      <c r="I93" s="524"/>
      <c r="J93" s="524"/>
      <c r="K93" s="525"/>
      <c r="L93" s="523">
        <f>(L91+M91+N91+O91)-SOCIODEMOGRÁFICA!B20</f>
        <v>0</v>
      </c>
      <c r="M93" s="524"/>
      <c r="N93" s="524"/>
      <c r="O93" s="525"/>
      <c r="P93" s="66"/>
      <c r="Q93" s="66"/>
      <c r="R93" s="279"/>
      <c r="S93" s="279"/>
    </row>
    <row r="94" spans="1:20" ht="15.75" hidden="1" thickBot="1" x14ac:dyDescent="0.3">
      <c r="A94" s="36"/>
      <c r="B94" s="66"/>
      <c r="C94" s="36"/>
      <c r="D94" s="129"/>
      <c r="E94" s="129"/>
      <c r="F94" s="129"/>
      <c r="G94" s="129"/>
      <c r="H94" s="129">
        <f>(D93+H93+L93+N93)</f>
        <v>0</v>
      </c>
      <c r="I94" s="129"/>
      <c r="J94" s="129"/>
      <c r="K94" s="129"/>
      <c r="L94" s="129"/>
      <c r="M94" s="129"/>
      <c r="N94" s="129"/>
      <c r="O94" s="129"/>
      <c r="P94" s="66"/>
      <c r="Q94" s="66"/>
      <c r="R94" s="279"/>
      <c r="S94" s="279"/>
    </row>
    <row r="95" spans="1:20" hidden="1" x14ac:dyDescent="0.25">
      <c r="A95" s="36"/>
      <c r="B95" s="66"/>
      <c r="C95" s="439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 t="e">
        <f>(N91)/SOCIODEMOGRÁFICA!B20</f>
        <v>#DIV/0!</v>
      </c>
      <c r="P95" s="438" t="e">
        <f>O95</f>
        <v>#DIV/0!</v>
      </c>
      <c r="Q95" s="451" t="e">
        <f>R40+R60+P80+P95</f>
        <v>#DIV/0!</v>
      </c>
      <c r="R95" s="488" t="e">
        <f>O95</f>
        <v>#DIV/0!</v>
      </c>
      <c r="S95" s="488" t="e">
        <f>R95+Q80+S60+T40</f>
        <v>#DIV/0!</v>
      </c>
      <c r="T95" s="279"/>
    </row>
  </sheetData>
  <sheetProtection algorithmName="SHA-512" hashValue="5llqeE6ZiD/HoebRFmBPvk591YZ2S+61p/WmQpXtfosLDvVb0SyhwXWnNDbFQMRPDca2Mg9LgnZj92dSWmfKVA==" saltValue="2ZjvekLZndfiX1ClaUC+kg==" spinCount="100000" sheet="1" objects="1" scenarios="1" selectLockedCells="1"/>
  <protectedRanges>
    <protectedRange sqref="D6:O15 D26:O35 D66:O75 D46:Q55" name="Intervalo1"/>
    <protectedRange sqref="A16" name="Intervalo1_1"/>
  </protectedRanges>
  <mergeCells count="67">
    <mergeCell ref="D93:G93"/>
    <mergeCell ref="H93:K93"/>
    <mergeCell ref="C25:P25"/>
    <mergeCell ref="C77:G77"/>
    <mergeCell ref="H77:O77"/>
    <mergeCell ref="D78:G78"/>
    <mergeCell ref="H78:K78"/>
    <mergeCell ref="C62:O62"/>
    <mergeCell ref="L63:O63"/>
    <mergeCell ref="C65:O65"/>
    <mergeCell ref="C63:C64"/>
    <mergeCell ref="D63:G63"/>
    <mergeCell ref="H63:K63"/>
    <mergeCell ref="C57:G57"/>
    <mergeCell ref="H58:K58"/>
    <mergeCell ref="L78:O78"/>
    <mergeCell ref="C17:G17"/>
    <mergeCell ref="H17:O17"/>
    <mergeCell ref="N18:O18"/>
    <mergeCell ref="C1:O1"/>
    <mergeCell ref="C92:G92"/>
    <mergeCell ref="H92:O92"/>
    <mergeCell ref="N3:O3"/>
    <mergeCell ref="C2:O2"/>
    <mergeCell ref="C5:O5"/>
    <mergeCell ref="C3:C4"/>
    <mergeCell ref="D3:G3"/>
    <mergeCell ref="H3:K3"/>
    <mergeCell ref="L3:M3"/>
    <mergeCell ref="N58:Q58"/>
    <mergeCell ref="N23:P23"/>
    <mergeCell ref="D58:G58"/>
    <mergeCell ref="C42:Q42"/>
    <mergeCell ref="D43:G43"/>
    <mergeCell ref="H43:K43"/>
    <mergeCell ref="L43:M43"/>
    <mergeCell ref="D38:G38"/>
    <mergeCell ref="L18:M18"/>
    <mergeCell ref="C22:P22"/>
    <mergeCell ref="H38:K38"/>
    <mergeCell ref="D20:F20"/>
    <mergeCell ref="D18:G18"/>
    <mergeCell ref="H18:K18"/>
    <mergeCell ref="C23:C24"/>
    <mergeCell ref="D23:G23"/>
    <mergeCell ref="H23:K23"/>
    <mergeCell ref="H37:P37"/>
    <mergeCell ref="L38:M38"/>
    <mergeCell ref="N38:O38"/>
    <mergeCell ref="C37:G37"/>
    <mergeCell ref="L23:M23"/>
    <mergeCell ref="L93:O93"/>
    <mergeCell ref="C45:Q45"/>
    <mergeCell ref="N43:Q43"/>
    <mergeCell ref="C83:C84"/>
    <mergeCell ref="L58:M58"/>
    <mergeCell ref="C82:O82"/>
    <mergeCell ref="D83:O83"/>
    <mergeCell ref="J86:K86"/>
    <mergeCell ref="J87:K87"/>
    <mergeCell ref="J88:K88"/>
    <mergeCell ref="J89:K89"/>
    <mergeCell ref="J90:K90"/>
    <mergeCell ref="C85:O85"/>
    <mergeCell ref="J91:K91"/>
    <mergeCell ref="C43:C44"/>
    <mergeCell ref="H57:Q57"/>
  </mergeCells>
  <hyperlinks>
    <hyperlink ref="A14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</hyperlinks>
  <pageMargins left="0.39370078740157483" right="0.39370078740157483" top="0.39370078740157483" bottom="0.39370078740157483" header="0" footer="0"/>
  <pageSetup paperSize="9" scale="6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L217"/>
  <sheetViews>
    <sheetView showGridLines="0" view="pageBreakPreview" topLeftCell="A14" zoomScale="90" zoomScaleNormal="80" zoomScaleSheetLayoutView="90" workbookViewId="0">
      <selection activeCell="A14" sqref="A14"/>
    </sheetView>
  </sheetViews>
  <sheetFormatPr defaultColWidth="14.42578125" defaultRowHeight="15" customHeight="1" x14ac:dyDescent="0.25"/>
  <cols>
    <col min="1" max="1" width="35.85546875" style="8" bestFit="1" customWidth="1"/>
    <col min="2" max="2" width="3" style="32" customWidth="1"/>
    <col min="3" max="3" width="78.28515625" style="17" customWidth="1"/>
    <col min="4" max="4" width="6.42578125" style="8" bestFit="1" customWidth="1"/>
    <col min="5" max="5" width="8.140625" style="8" customWidth="1"/>
    <col min="6" max="6" width="7.28515625" style="8" bestFit="1" customWidth="1"/>
    <col min="7" max="7" width="5.42578125" style="8" hidden="1" customWidth="1"/>
    <col min="8" max="12" width="8.7109375" style="1" customWidth="1"/>
    <col min="13" max="16384" width="14.42578125" style="1"/>
  </cols>
  <sheetData>
    <row r="1" spans="1:12" ht="54.75" customHeight="1" thickBot="1" x14ac:dyDescent="0.4">
      <c r="A1" s="66"/>
      <c r="B1" s="26"/>
      <c r="C1" s="603" t="s">
        <v>349</v>
      </c>
      <c r="D1" s="603"/>
      <c r="E1" s="603"/>
      <c r="F1" s="603"/>
      <c r="G1" s="9"/>
    </row>
    <row r="2" spans="1:12" ht="19.5" customHeight="1" thickBot="1" x14ac:dyDescent="0.35">
      <c r="A2" s="427" t="s">
        <v>338</v>
      </c>
      <c r="B2" s="26"/>
      <c r="C2" s="19"/>
      <c r="D2" s="9"/>
      <c r="E2" s="9"/>
      <c r="F2" s="9"/>
      <c r="G2" s="9"/>
    </row>
    <row r="3" spans="1:12" ht="24.75" customHeight="1" thickBot="1" x14ac:dyDescent="0.35">
      <c r="A3" s="48" t="s">
        <v>407</v>
      </c>
      <c r="B3" s="27"/>
      <c r="C3" s="590" t="s">
        <v>6</v>
      </c>
      <c r="D3" s="600"/>
      <c r="E3" s="600"/>
      <c r="F3" s="600"/>
      <c r="G3" s="601"/>
      <c r="H3" s="10"/>
      <c r="I3" s="10"/>
      <c r="J3" s="10"/>
      <c r="K3" s="10"/>
      <c r="L3" s="10"/>
    </row>
    <row r="4" spans="1:12" ht="24.95" customHeight="1" thickBot="1" x14ac:dyDescent="0.35">
      <c r="A4" s="35"/>
      <c r="B4" s="27"/>
      <c r="C4" s="416" t="s">
        <v>7</v>
      </c>
      <c r="D4" s="88" t="s">
        <v>8</v>
      </c>
      <c r="E4" s="88" t="s">
        <v>9</v>
      </c>
      <c r="F4" s="88" t="s">
        <v>10</v>
      </c>
      <c r="G4" s="96"/>
      <c r="H4" s="10"/>
      <c r="I4" s="10"/>
      <c r="J4" s="10"/>
      <c r="K4" s="10"/>
      <c r="L4" s="10"/>
    </row>
    <row r="5" spans="1:12" ht="24.95" customHeight="1" x14ac:dyDescent="0.3">
      <c r="A5" s="427" t="s">
        <v>339</v>
      </c>
      <c r="B5" s="28"/>
      <c r="C5" s="97" t="s">
        <v>74</v>
      </c>
      <c r="D5" s="89">
        <f>D6*2</f>
        <v>0</v>
      </c>
      <c r="E5" s="89">
        <f>E6*0</f>
        <v>0</v>
      </c>
      <c r="F5" s="89">
        <f>F6*2</f>
        <v>0</v>
      </c>
      <c r="G5" s="98" t="s">
        <v>257</v>
      </c>
    </row>
    <row r="6" spans="1:12" ht="24.95" customHeight="1" thickBot="1" x14ac:dyDescent="0.35">
      <c r="A6" s="48" t="s">
        <v>431</v>
      </c>
      <c r="B6" s="29">
        <v>1</v>
      </c>
      <c r="C6" s="99" t="s">
        <v>57</v>
      </c>
      <c r="D6" s="476"/>
      <c r="E6" s="476"/>
      <c r="F6" s="476"/>
      <c r="G6" s="100">
        <f>(D6+E6+F6)-1</f>
        <v>-1</v>
      </c>
    </row>
    <row r="7" spans="1:12" ht="24.95" customHeight="1" thickBot="1" x14ac:dyDescent="0.35">
      <c r="A7" s="35"/>
      <c r="B7" s="29"/>
      <c r="C7" s="97" t="s">
        <v>75</v>
      </c>
      <c r="D7" s="90">
        <f>(D8+D10+D11)*1</f>
        <v>0</v>
      </c>
      <c r="E7" s="90">
        <f>(E8+E10+E11)*0</f>
        <v>0</v>
      </c>
      <c r="F7" s="90">
        <f>(F8+F10+F11)*1</f>
        <v>0</v>
      </c>
      <c r="G7" s="98"/>
    </row>
    <row r="8" spans="1:12" ht="24.95" customHeight="1" x14ac:dyDescent="0.3">
      <c r="A8" s="427" t="s">
        <v>340</v>
      </c>
      <c r="B8" s="29">
        <v>2</v>
      </c>
      <c r="C8" s="99" t="s">
        <v>58</v>
      </c>
      <c r="D8" s="598"/>
      <c r="E8" s="598"/>
      <c r="F8" s="598"/>
      <c r="G8" s="602">
        <f>(D8+E8+F8)-1</f>
        <v>-1</v>
      </c>
    </row>
    <row r="9" spans="1:12" ht="24.75" customHeight="1" thickBot="1" x14ac:dyDescent="0.35">
      <c r="A9" s="48" t="s">
        <v>54</v>
      </c>
      <c r="B9" s="29"/>
      <c r="C9" s="101" t="s">
        <v>11</v>
      </c>
      <c r="D9" s="599"/>
      <c r="E9" s="599"/>
      <c r="F9" s="599"/>
      <c r="G9" s="602"/>
    </row>
    <row r="10" spans="1:12" ht="33.75" customHeight="1" thickBot="1" x14ac:dyDescent="0.35">
      <c r="A10" s="35"/>
      <c r="B10" s="29">
        <v>3</v>
      </c>
      <c r="C10" s="99" t="s">
        <v>59</v>
      </c>
      <c r="D10" s="476"/>
      <c r="E10" s="476"/>
      <c r="F10" s="476"/>
      <c r="G10" s="100">
        <f>(D10+E10+F10)-1</f>
        <v>-1</v>
      </c>
    </row>
    <row r="11" spans="1:12" ht="24.95" customHeight="1" x14ac:dyDescent="0.3">
      <c r="A11" s="427" t="s">
        <v>341</v>
      </c>
      <c r="B11" s="29">
        <v>4</v>
      </c>
      <c r="C11" s="99" t="s">
        <v>60</v>
      </c>
      <c r="D11" s="476"/>
      <c r="E11" s="476"/>
      <c r="F11" s="476"/>
      <c r="G11" s="100">
        <f>(D11+E11+F11)-1</f>
        <v>-1</v>
      </c>
    </row>
    <row r="12" spans="1:12" ht="24.95" customHeight="1" thickBot="1" x14ac:dyDescent="0.35">
      <c r="A12" s="48" t="s">
        <v>53</v>
      </c>
      <c r="B12" s="29"/>
      <c r="C12" s="97" t="s">
        <v>76</v>
      </c>
      <c r="D12" s="90">
        <f>(D13)*1</f>
        <v>0</v>
      </c>
      <c r="E12" s="90">
        <f>(E13)*0</f>
        <v>0</v>
      </c>
      <c r="F12" s="90">
        <f>(F13)*1</f>
        <v>0</v>
      </c>
      <c r="G12" s="98"/>
    </row>
    <row r="13" spans="1:12" ht="24.95" customHeight="1" thickBot="1" x14ac:dyDescent="0.3">
      <c r="A13" s="36"/>
      <c r="B13" s="29">
        <v>5</v>
      </c>
      <c r="C13" s="99" t="s">
        <v>61</v>
      </c>
      <c r="D13" s="598"/>
      <c r="E13" s="598"/>
      <c r="F13" s="598"/>
      <c r="G13" s="596">
        <f>(D13+E13+F13)-1</f>
        <v>-1</v>
      </c>
    </row>
    <row r="14" spans="1:12" ht="24.95" customHeight="1" thickBot="1" x14ac:dyDescent="0.45">
      <c r="A14" s="47" t="s">
        <v>51</v>
      </c>
      <c r="B14" s="29"/>
      <c r="C14" s="101" t="s">
        <v>12</v>
      </c>
      <c r="D14" s="599"/>
      <c r="E14" s="599"/>
      <c r="F14" s="599"/>
      <c r="G14" s="597"/>
    </row>
    <row r="15" spans="1:12" ht="19.5" customHeight="1" thickBot="1" x14ac:dyDescent="0.3">
      <c r="A15" s="36"/>
      <c r="B15" s="29"/>
      <c r="C15" s="97" t="s">
        <v>77</v>
      </c>
      <c r="D15" s="90">
        <f>(D16)*1</f>
        <v>0</v>
      </c>
      <c r="E15" s="90">
        <f>(E16)*0</f>
        <v>0</v>
      </c>
      <c r="F15" s="90">
        <f>(F16)*1</f>
        <v>0</v>
      </c>
      <c r="G15" s="98"/>
    </row>
    <row r="16" spans="1:12" ht="26.25" customHeight="1" thickBot="1" x14ac:dyDescent="0.3">
      <c r="A16" s="300" t="str">
        <f>'Pág Inicial'!A16</f>
        <v>ESCOLA MODELO</v>
      </c>
      <c r="B16" s="29">
        <v>6</v>
      </c>
      <c r="C16" s="99" t="s">
        <v>13</v>
      </c>
      <c r="D16" s="598"/>
      <c r="E16" s="598"/>
      <c r="F16" s="598"/>
      <c r="G16" s="596">
        <f>(D16+E16+F16)-1</f>
        <v>-1</v>
      </c>
    </row>
    <row r="17" spans="1:7" ht="27" customHeight="1" x14ac:dyDescent="0.25">
      <c r="A17" s="36"/>
      <c r="B17" s="29"/>
      <c r="C17" s="101" t="s">
        <v>14</v>
      </c>
      <c r="D17" s="599"/>
      <c r="E17" s="599"/>
      <c r="F17" s="599"/>
      <c r="G17" s="597"/>
    </row>
    <row r="18" spans="1:7" ht="27" customHeight="1" x14ac:dyDescent="0.25">
      <c r="A18" s="9"/>
      <c r="B18" s="29"/>
      <c r="C18" s="97" t="s">
        <v>78</v>
      </c>
      <c r="D18" s="90">
        <f>(D19*1) + (D20*2)+(D21*1)+(D23*1)+(D25*2)</f>
        <v>0</v>
      </c>
      <c r="E18" s="90">
        <f>(E19+E20+E21+E23+E25)*0</f>
        <v>0</v>
      </c>
      <c r="F18" s="90">
        <f>(F19*1) + (F20*2)+(F21*1)+(F23*1)+(F25*2)</f>
        <v>0</v>
      </c>
      <c r="G18" s="98"/>
    </row>
    <row r="19" spans="1:7" ht="27.75" customHeight="1" x14ac:dyDescent="0.25">
      <c r="A19" s="9"/>
      <c r="B19" s="29">
        <v>7</v>
      </c>
      <c r="C19" s="99" t="s">
        <v>62</v>
      </c>
      <c r="D19" s="476"/>
      <c r="E19" s="476"/>
      <c r="F19" s="476"/>
      <c r="G19" s="100">
        <f>(D19+E19+F19)-1</f>
        <v>-1</v>
      </c>
    </row>
    <row r="20" spans="1:7" ht="27" customHeight="1" x14ac:dyDescent="0.25">
      <c r="A20" s="9"/>
      <c r="B20" s="29">
        <v>8</v>
      </c>
      <c r="C20" s="99" t="s">
        <v>63</v>
      </c>
      <c r="D20" s="476"/>
      <c r="E20" s="476"/>
      <c r="F20" s="476"/>
      <c r="G20" s="100">
        <f>(D20+E20+F20)-1</f>
        <v>-1</v>
      </c>
    </row>
    <row r="21" spans="1:7" ht="28.5" customHeight="1" x14ac:dyDescent="0.25">
      <c r="A21" s="9"/>
      <c r="B21" s="29">
        <v>9</v>
      </c>
      <c r="C21" s="99" t="s">
        <v>64</v>
      </c>
      <c r="D21" s="598"/>
      <c r="E21" s="598"/>
      <c r="F21" s="598"/>
      <c r="G21" s="596">
        <f>(D21+E21+F21)-1</f>
        <v>-1</v>
      </c>
    </row>
    <row r="22" spans="1:7" ht="19.5" customHeight="1" x14ac:dyDescent="0.25">
      <c r="A22" s="54"/>
      <c r="B22" s="29"/>
      <c r="C22" s="101" t="s">
        <v>66</v>
      </c>
      <c r="D22" s="599"/>
      <c r="E22" s="599"/>
      <c r="F22" s="599"/>
      <c r="G22" s="597"/>
    </row>
    <row r="23" spans="1:7" ht="19.5" customHeight="1" x14ac:dyDescent="0.25">
      <c r="A23" s="54"/>
      <c r="B23" s="29">
        <v>10</v>
      </c>
      <c r="C23" s="99" t="s">
        <v>65</v>
      </c>
      <c r="D23" s="598"/>
      <c r="E23" s="598"/>
      <c r="F23" s="598"/>
      <c r="G23" s="596">
        <f>(D23+E23+F23)-1</f>
        <v>-1</v>
      </c>
    </row>
    <row r="24" spans="1:7" ht="19.5" customHeight="1" x14ac:dyDescent="0.25">
      <c r="A24" s="54"/>
      <c r="B24" s="29"/>
      <c r="C24" s="101" t="s">
        <v>67</v>
      </c>
      <c r="D24" s="599"/>
      <c r="E24" s="599"/>
      <c r="F24" s="599"/>
      <c r="G24" s="597"/>
    </row>
    <row r="25" spans="1:7" ht="19.5" customHeight="1" x14ac:dyDescent="0.25">
      <c r="A25" s="54"/>
      <c r="B25" s="29">
        <v>11</v>
      </c>
      <c r="C25" s="99" t="s">
        <v>68</v>
      </c>
      <c r="D25" s="598"/>
      <c r="E25" s="598"/>
      <c r="F25" s="598"/>
      <c r="G25" s="596">
        <f>(D25+E25+F25)-1</f>
        <v>-1</v>
      </c>
    </row>
    <row r="26" spans="1:7" ht="19.5" customHeight="1" x14ac:dyDescent="0.25">
      <c r="A26" s="54"/>
      <c r="B26" s="29"/>
      <c r="C26" s="101" t="s">
        <v>70</v>
      </c>
      <c r="D26" s="599"/>
      <c r="E26" s="599"/>
      <c r="F26" s="599"/>
      <c r="G26" s="597"/>
    </row>
    <row r="27" spans="1:7" ht="19.5" customHeight="1" x14ac:dyDescent="0.25">
      <c r="A27" s="54"/>
      <c r="B27" s="29"/>
      <c r="C27" s="101" t="s">
        <v>69</v>
      </c>
      <c r="D27" s="599"/>
      <c r="E27" s="599"/>
      <c r="F27" s="599"/>
      <c r="G27" s="597"/>
    </row>
    <row r="28" spans="1:7" ht="19.5" customHeight="1" x14ac:dyDescent="0.25">
      <c r="A28" s="54"/>
      <c r="B28" s="29"/>
      <c r="C28" s="97" t="s">
        <v>79</v>
      </c>
      <c r="D28" s="90">
        <f>(D29*2) + (D30*1)</f>
        <v>0</v>
      </c>
      <c r="E28" s="90">
        <f>(E29+E30)*0</f>
        <v>0</v>
      </c>
      <c r="F28" s="90">
        <f>(F29*2) + (F30*1)</f>
        <v>0</v>
      </c>
      <c r="G28" s="98"/>
    </row>
    <row r="29" spans="1:7" ht="24" customHeight="1" x14ac:dyDescent="0.25">
      <c r="A29" s="54"/>
      <c r="B29" s="29">
        <v>12</v>
      </c>
      <c r="C29" s="99" t="s">
        <v>71</v>
      </c>
      <c r="D29" s="476"/>
      <c r="E29" s="476"/>
      <c r="F29" s="476"/>
      <c r="G29" s="100">
        <f>(D29+E29+F29)-1</f>
        <v>-1</v>
      </c>
    </row>
    <row r="30" spans="1:7" ht="19.5" customHeight="1" x14ac:dyDescent="0.25">
      <c r="A30" s="54"/>
      <c r="B30" s="29">
        <v>13</v>
      </c>
      <c r="C30" s="99" t="s">
        <v>72</v>
      </c>
      <c r="D30" s="476"/>
      <c r="E30" s="476"/>
      <c r="F30" s="476"/>
      <c r="G30" s="100">
        <f>(D30+E30+F30)-1</f>
        <v>-1</v>
      </c>
    </row>
    <row r="31" spans="1:7" ht="19.5" customHeight="1" x14ac:dyDescent="0.25">
      <c r="A31" s="54"/>
      <c r="B31" s="29"/>
      <c r="C31" s="97" t="s">
        <v>80</v>
      </c>
      <c r="D31" s="90">
        <f>(D32*2)</f>
        <v>0</v>
      </c>
      <c r="E31" s="90">
        <f>(E32)*0</f>
        <v>0</v>
      </c>
      <c r="F31" s="90">
        <f>(F32*2)</f>
        <v>0</v>
      </c>
      <c r="G31" s="98"/>
    </row>
    <row r="32" spans="1:7" ht="19.5" customHeight="1" x14ac:dyDescent="0.25">
      <c r="A32" s="54"/>
      <c r="B32" s="29">
        <v>14</v>
      </c>
      <c r="C32" s="99" t="s">
        <v>73</v>
      </c>
      <c r="D32" s="476"/>
      <c r="E32" s="476"/>
      <c r="F32" s="476"/>
      <c r="G32" s="100">
        <f>(D32+E32+F32)-1</f>
        <v>-1</v>
      </c>
    </row>
    <row r="33" spans="1:7" ht="19.5" customHeight="1" x14ac:dyDescent="0.25">
      <c r="A33" s="54"/>
      <c r="B33" s="29"/>
      <c r="C33" s="97" t="s">
        <v>81</v>
      </c>
      <c r="D33" s="90">
        <f>(D34*8) + (D35*8)+(D36*8)+(D37*8)</f>
        <v>0</v>
      </c>
      <c r="E33" s="90">
        <f>(E34+E35+E36+E37)*0</f>
        <v>0</v>
      </c>
      <c r="F33" s="90">
        <f>(F34*8) + (F35*8)+(F36*8)+(F37*8)</f>
        <v>0</v>
      </c>
      <c r="G33" s="98"/>
    </row>
    <row r="34" spans="1:7" ht="19.5" customHeight="1" x14ac:dyDescent="0.25">
      <c r="A34" s="54"/>
      <c r="B34" s="29">
        <v>15</v>
      </c>
      <c r="C34" s="99" t="s">
        <v>15</v>
      </c>
      <c r="D34" s="476"/>
      <c r="E34" s="476"/>
      <c r="F34" s="476"/>
      <c r="G34" s="100">
        <f>(D34+E34+F34)-1</f>
        <v>-1</v>
      </c>
    </row>
    <row r="35" spans="1:7" ht="19.5" customHeight="1" x14ac:dyDescent="0.25">
      <c r="A35" s="54"/>
      <c r="B35" s="29">
        <v>16</v>
      </c>
      <c r="C35" s="99" t="s">
        <v>16</v>
      </c>
      <c r="D35" s="476"/>
      <c r="E35" s="476"/>
      <c r="F35" s="476"/>
      <c r="G35" s="100">
        <f>(D35+E35+F35)-1</f>
        <v>-1</v>
      </c>
    </row>
    <row r="36" spans="1:7" ht="33" customHeight="1" x14ac:dyDescent="0.25">
      <c r="A36" s="54"/>
      <c r="B36" s="29">
        <v>17</v>
      </c>
      <c r="C36" s="99" t="s">
        <v>17</v>
      </c>
      <c r="D36" s="476"/>
      <c r="E36" s="476"/>
      <c r="F36" s="476"/>
      <c r="G36" s="100">
        <f>(D36+E36+F36)-1</f>
        <v>-1</v>
      </c>
    </row>
    <row r="37" spans="1:7" ht="27.75" customHeight="1" x14ac:dyDescent="0.25">
      <c r="A37" s="54"/>
      <c r="B37" s="29">
        <v>18</v>
      </c>
      <c r="C37" s="99" t="s">
        <v>18</v>
      </c>
      <c r="D37" s="477"/>
      <c r="E37" s="477"/>
      <c r="F37" s="477"/>
      <c r="G37" s="100">
        <f>(D37+E37+F37)-1</f>
        <v>-1</v>
      </c>
    </row>
    <row r="38" spans="1:7" ht="19.5" customHeight="1" x14ac:dyDescent="0.25">
      <c r="A38" s="54"/>
      <c r="B38" s="29"/>
      <c r="C38" s="97" t="s">
        <v>82</v>
      </c>
      <c r="D38" s="90">
        <f>(D39*1)+(D41*2)+(D42*2)+(D43*4)+(D44*4)</f>
        <v>0</v>
      </c>
      <c r="E38" s="90">
        <f>(E39+E40+E41+E42)*0</f>
        <v>0</v>
      </c>
      <c r="F38" s="90">
        <f>(F39*1)+(F41*2)+(F42*2)+(F43*4)+(F44*4)</f>
        <v>0</v>
      </c>
      <c r="G38" s="98"/>
    </row>
    <row r="39" spans="1:7" ht="19.5" customHeight="1" x14ac:dyDescent="0.25">
      <c r="A39" s="54"/>
      <c r="B39" s="29">
        <v>19</v>
      </c>
      <c r="C39" s="99" t="s">
        <v>52</v>
      </c>
      <c r="D39" s="598"/>
      <c r="E39" s="598"/>
      <c r="F39" s="598"/>
      <c r="G39" s="596">
        <f>(D39+E39+F39)-1</f>
        <v>-1</v>
      </c>
    </row>
    <row r="40" spans="1:7" ht="19.5" customHeight="1" x14ac:dyDescent="0.25">
      <c r="A40" s="54"/>
      <c r="B40" s="29"/>
      <c r="C40" s="101" t="s">
        <v>19</v>
      </c>
      <c r="D40" s="598"/>
      <c r="E40" s="598"/>
      <c r="F40" s="598"/>
      <c r="G40" s="596"/>
    </row>
    <row r="41" spans="1:7" ht="19.5" customHeight="1" x14ac:dyDescent="0.25">
      <c r="A41" s="54"/>
      <c r="B41" s="29">
        <v>20</v>
      </c>
      <c r="C41" s="99" t="s">
        <v>84</v>
      </c>
      <c r="D41" s="476"/>
      <c r="E41" s="476"/>
      <c r="F41" s="476"/>
      <c r="G41" s="100">
        <f>(D41+E41+F41)-1</f>
        <v>-1</v>
      </c>
    </row>
    <row r="42" spans="1:7" ht="19.5" customHeight="1" x14ac:dyDescent="0.25">
      <c r="A42" s="54"/>
      <c r="B42" s="29">
        <v>21</v>
      </c>
      <c r="C42" s="99" t="s">
        <v>85</v>
      </c>
      <c r="D42" s="477"/>
      <c r="E42" s="477"/>
      <c r="F42" s="477"/>
      <c r="G42" s="100">
        <f>(D42+E42+F42)-1</f>
        <v>-1</v>
      </c>
    </row>
    <row r="43" spans="1:7" ht="19.5" customHeight="1" x14ac:dyDescent="0.25">
      <c r="A43" s="54"/>
      <c r="B43" s="29">
        <v>22</v>
      </c>
      <c r="C43" s="99" t="s">
        <v>86</v>
      </c>
      <c r="D43" s="476"/>
      <c r="E43" s="476"/>
      <c r="F43" s="476"/>
      <c r="G43" s="100">
        <f>(D43+E43+F43)-1</f>
        <v>-1</v>
      </c>
    </row>
    <row r="44" spans="1:7" ht="19.5" customHeight="1" x14ac:dyDescent="0.25">
      <c r="A44" s="54"/>
      <c r="B44" s="29">
        <v>23</v>
      </c>
      <c r="C44" s="99" t="s">
        <v>87</v>
      </c>
      <c r="D44" s="598"/>
      <c r="E44" s="598"/>
      <c r="F44" s="598"/>
      <c r="G44" s="596">
        <f>(D44+E44+F44)-1</f>
        <v>-1</v>
      </c>
    </row>
    <row r="45" spans="1:7" ht="19.5" customHeight="1" x14ac:dyDescent="0.25">
      <c r="A45" s="54"/>
      <c r="B45" s="29"/>
      <c r="C45" s="101" t="s">
        <v>20</v>
      </c>
      <c r="D45" s="599"/>
      <c r="E45" s="599"/>
      <c r="F45" s="599"/>
      <c r="G45" s="596"/>
    </row>
    <row r="46" spans="1:7" ht="19.5" customHeight="1" x14ac:dyDescent="0.25">
      <c r="A46" s="54"/>
      <c r="B46" s="29"/>
      <c r="C46" s="97" t="s">
        <v>83</v>
      </c>
      <c r="D46" s="90">
        <f>(D47*4)+(D48*4)+(D49*4)</f>
        <v>0</v>
      </c>
      <c r="E46" s="90">
        <f>(E47+E48+E49)*0</f>
        <v>0</v>
      </c>
      <c r="F46" s="90">
        <f>(F47*4)+(F48*4)+(F49*4)</f>
        <v>0</v>
      </c>
      <c r="G46" s="98"/>
    </row>
    <row r="47" spans="1:7" ht="35.25" customHeight="1" x14ac:dyDescent="0.25">
      <c r="A47" s="54"/>
      <c r="B47" s="29">
        <v>24</v>
      </c>
      <c r="C47" s="99" t="s">
        <v>88</v>
      </c>
      <c r="D47" s="476"/>
      <c r="E47" s="476"/>
      <c r="F47" s="476"/>
      <c r="G47" s="100">
        <f>(D47+E47+F47)-1</f>
        <v>-1</v>
      </c>
    </row>
    <row r="48" spans="1:7" ht="19.5" customHeight="1" x14ac:dyDescent="0.25">
      <c r="A48" s="54"/>
      <c r="B48" s="29">
        <v>25</v>
      </c>
      <c r="C48" s="99" t="s">
        <v>89</v>
      </c>
      <c r="D48" s="476"/>
      <c r="E48" s="476"/>
      <c r="F48" s="476"/>
      <c r="G48" s="100">
        <f>(D48+E48+F48)-1</f>
        <v>-1</v>
      </c>
    </row>
    <row r="49" spans="1:7" ht="19.5" customHeight="1" x14ac:dyDescent="0.25">
      <c r="A49" s="54"/>
      <c r="B49" s="29">
        <v>26</v>
      </c>
      <c r="C49" s="99" t="s">
        <v>90</v>
      </c>
      <c r="D49" s="476"/>
      <c r="E49" s="476"/>
      <c r="F49" s="476"/>
      <c r="G49" s="100">
        <f>(D49+E49+F49)-1</f>
        <v>-1</v>
      </c>
    </row>
    <row r="50" spans="1:7" ht="19.5" customHeight="1" x14ac:dyDescent="0.25">
      <c r="A50" s="54"/>
      <c r="B50" s="29"/>
      <c r="C50" s="97" t="s">
        <v>91</v>
      </c>
      <c r="D50" s="90">
        <f>(D51*1)+(D52*1)+(D54*1)+(D56*1)+(D57*1)</f>
        <v>0</v>
      </c>
      <c r="E50" s="90">
        <f>(E51+E52+E53+E54+E56+E57)*0</f>
        <v>0</v>
      </c>
      <c r="F50" s="90">
        <f>(F51*1)+(F52*1)+(F54*1)+(F56*1)+(F57*1)</f>
        <v>0</v>
      </c>
      <c r="G50" s="98"/>
    </row>
    <row r="51" spans="1:7" ht="19.5" customHeight="1" x14ac:dyDescent="0.25">
      <c r="A51" s="54"/>
      <c r="B51" s="29">
        <v>27</v>
      </c>
      <c r="C51" s="99" t="s">
        <v>92</v>
      </c>
      <c r="D51" s="476"/>
      <c r="E51" s="476"/>
      <c r="F51" s="476"/>
      <c r="G51" s="100">
        <f>(D51+E51+F51)-1</f>
        <v>-1</v>
      </c>
    </row>
    <row r="52" spans="1:7" ht="19.5" customHeight="1" x14ac:dyDescent="0.25">
      <c r="A52" s="54"/>
      <c r="B52" s="29">
        <v>28</v>
      </c>
      <c r="C52" s="99" t="s">
        <v>93</v>
      </c>
      <c r="D52" s="598"/>
      <c r="E52" s="598"/>
      <c r="F52" s="598"/>
      <c r="G52" s="596">
        <f>(D52+E52+F52)-1</f>
        <v>-1</v>
      </c>
    </row>
    <row r="53" spans="1:7" ht="19.5" customHeight="1" x14ac:dyDescent="0.25">
      <c r="A53" s="54"/>
      <c r="B53" s="29"/>
      <c r="C53" s="101" t="s">
        <v>21</v>
      </c>
      <c r="D53" s="599"/>
      <c r="E53" s="599"/>
      <c r="F53" s="599"/>
      <c r="G53" s="596"/>
    </row>
    <row r="54" spans="1:7" ht="19.5" customHeight="1" x14ac:dyDescent="0.25">
      <c r="A54" s="54"/>
      <c r="B54" s="29">
        <v>29</v>
      </c>
      <c r="C54" s="99" t="s">
        <v>94</v>
      </c>
      <c r="D54" s="598"/>
      <c r="E54" s="598"/>
      <c r="F54" s="598"/>
      <c r="G54" s="596">
        <f>(D54+E54+F54)-1</f>
        <v>-1</v>
      </c>
    </row>
    <row r="55" spans="1:7" ht="19.5" customHeight="1" x14ac:dyDescent="0.25">
      <c r="A55" s="54"/>
      <c r="B55" s="29"/>
      <c r="C55" s="101" t="s">
        <v>22</v>
      </c>
      <c r="D55" s="599"/>
      <c r="E55" s="599"/>
      <c r="F55" s="599"/>
      <c r="G55" s="596"/>
    </row>
    <row r="56" spans="1:7" ht="19.5" customHeight="1" x14ac:dyDescent="0.25">
      <c r="A56" s="54"/>
      <c r="B56" s="29">
        <v>30</v>
      </c>
      <c r="C56" s="99" t="s">
        <v>95</v>
      </c>
      <c r="D56" s="476"/>
      <c r="E56" s="476"/>
      <c r="F56" s="476"/>
      <c r="G56" s="100">
        <f>(D56+E56+F56)-1</f>
        <v>-1</v>
      </c>
    </row>
    <row r="57" spans="1:7" ht="19.5" customHeight="1" x14ac:dyDescent="0.25">
      <c r="A57" s="54"/>
      <c r="B57" s="29">
        <v>31</v>
      </c>
      <c r="C57" s="99" t="s">
        <v>96</v>
      </c>
      <c r="D57" s="476"/>
      <c r="E57" s="476"/>
      <c r="F57" s="476"/>
      <c r="G57" s="100">
        <f>(D57+E57+F57)-1</f>
        <v>-1</v>
      </c>
    </row>
    <row r="58" spans="1:7" ht="19.5" customHeight="1" x14ac:dyDescent="0.25">
      <c r="A58" s="54"/>
      <c r="B58" s="29"/>
      <c r="C58" s="97" t="s">
        <v>97</v>
      </c>
      <c r="D58" s="90">
        <f>(D59*1)+(D60*1)+(D62*2)+(D63*2)</f>
        <v>0</v>
      </c>
      <c r="E58" s="90">
        <f>(E59+E60+E61+E62+E63)*0</f>
        <v>0</v>
      </c>
      <c r="F58" s="90">
        <f>(F59*1)+(F60*1)+(F62*2)+(F63*2)</f>
        <v>0</v>
      </c>
      <c r="G58" s="98"/>
    </row>
    <row r="59" spans="1:7" ht="19.5" customHeight="1" x14ac:dyDescent="0.25">
      <c r="A59" s="54"/>
      <c r="B59" s="29">
        <v>32</v>
      </c>
      <c r="C59" s="99" t="s">
        <v>98</v>
      </c>
      <c r="D59" s="476"/>
      <c r="E59" s="476"/>
      <c r="F59" s="476"/>
      <c r="G59" s="100">
        <f>(D59+E59+F59)-1</f>
        <v>-1</v>
      </c>
    </row>
    <row r="60" spans="1:7" ht="19.5" customHeight="1" x14ac:dyDescent="0.25">
      <c r="A60" s="54"/>
      <c r="B60" s="29">
        <v>33</v>
      </c>
      <c r="C60" s="99" t="s">
        <v>99</v>
      </c>
      <c r="D60" s="598"/>
      <c r="E60" s="598"/>
      <c r="F60" s="598"/>
      <c r="G60" s="596">
        <f>(D60+E60+F60)-1</f>
        <v>-1</v>
      </c>
    </row>
    <row r="61" spans="1:7" ht="19.5" customHeight="1" x14ac:dyDescent="0.25">
      <c r="A61" s="54"/>
      <c r="B61" s="29"/>
      <c r="C61" s="101" t="s">
        <v>21</v>
      </c>
      <c r="D61" s="599"/>
      <c r="E61" s="599"/>
      <c r="F61" s="599"/>
      <c r="G61" s="596"/>
    </row>
    <row r="62" spans="1:7" ht="19.5" customHeight="1" x14ac:dyDescent="0.25">
      <c r="A62" s="54"/>
      <c r="B62" s="29">
        <v>34</v>
      </c>
      <c r="C62" s="99" t="s">
        <v>100</v>
      </c>
      <c r="D62" s="476"/>
      <c r="E62" s="476"/>
      <c r="F62" s="476"/>
      <c r="G62" s="100">
        <f>(D62+E62+F62)-1</f>
        <v>-1</v>
      </c>
    </row>
    <row r="63" spans="1:7" ht="19.5" customHeight="1" x14ac:dyDescent="0.25">
      <c r="A63" s="54"/>
      <c r="B63" s="29">
        <v>35</v>
      </c>
      <c r="C63" s="99" t="s">
        <v>101</v>
      </c>
      <c r="D63" s="476"/>
      <c r="E63" s="476"/>
      <c r="F63" s="476"/>
      <c r="G63" s="100">
        <f>(D63+E63+F63)-1</f>
        <v>-1</v>
      </c>
    </row>
    <row r="64" spans="1:7" ht="19.5" customHeight="1" x14ac:dyDescent="0.25">
      <c r="A64" s="54"/>
      <c r="B64" s="29"/>
      <c r="C64" s="97" t="s">
        <v>102</v>
      </c>
      <c r="D64" s="90">
        <f>(D65*4)</f>
        <v>0</v>
      </c>
      <c r="E64" s="90">
        <f>(E65*0)</f>
        <v>0</v>
      </c>
      <c r="F64" s="90">
        <f>(F65*4)</f>
        <v>0</v>
      </c>
      <c r="G64" s="98"/>
    </row>
    <row r="65" spans="1:12" ht="19.5" customHeight="1" x14ac:dyDescent="0.25">
      <c r="A65" s="54"/>
      <c r="B65" s="29">
        <v>36</v>
      </c>
      <c r="C65" s="99" t="s">
        <v>103</v>
      </c>
      <c r="D65" s="476"/>
      <c r="E65" s="476"/>
      <c r="F65" s="476"/>
      <c r="G65" s="100">
        <f>(D65+E65+F65)-1</f>
        <v>-1</v>
      </c>
    </row>
    <row r="66" spans="1:12" ht="19.5" customHeight="1" x14ac:dyDescent="0.25">
      <c r="A66" s="54"/>
      <c r="B66" s="29"/>
      <c r="C66" s="102" t="s">
        <v>258</v>
      </c>
      <c r="D66" s="93">
        <f>(D64+D58+D50+D46+D38+D33+D31+D28+D18+D15+D12+D7+D5)</f>
        <v>0</v>
      </c>
      <c r="E66" s="93">
        <f>(E64+E58+E50+E46+E38+E33+E31+E28+E18+E15+E12+E7+E5)</f>
        <v>0</v>
      </c>
      <c r="F66" s="93">
        <f>(F64+F58+F50+F46+F38+F33+F31+F28+F18+F15+F12+F7+F5)</f>
        <v>0</v>
      </c>
      <c r="G66" s="100"/>
    </row>
    <row r="67" spans="1:12" ht="19.5" customHeight="1" x14ac:dyDescent="0.25">
      <c r="A67" s="54"/>
      <c r="B67" s="29"/>
      <c r="C67" s="103"/>
      <c r="D67" s="93" t="s">
        <v>23</v>
      </c>
      <c r="E67" s="93" t="s">
        <v>24</v>
      </c>
      <c r="F67" s="93" t="s">
        <v>10</v>
      </c>
      <c r="G67" s="100">
        <f>SUM(G6:G66)</f>
        <v>-36</v>
      </c>
    </row>
    <row r="68" spans="1:12" ht="15.75" hidden="1" customHeight="1" x14ac:dyDescent="0.25">
      <c r="A68" s="54"/>
      <c r="B68" s="26"/>
      <c r="C68" s="104">
        <f>D66/(91-E66)</f>
        <v>0</v>
      </c>
      <c r="D68" s="94"/>
      <c r="E68" s="94"/>
      <c r="F68" s="94"/>
      <c r="G68" s="105"/>
    </row>
    <row r="69" spans="1:12" ht="15.75" customHeight="1" x14ac:dyDescent="0.25">
      <c r="A69" s="54"/>
      <c r="B69" s="26"/>
      <c r="C69" s="106" t="s">
        <v>25</v>
      </c>
      <c r="D69" s="580">
        <f>G67</f>
        <v>-36</v>
      </c>
      <c r="E69" s="580"/>
      <c r="F69" s="580"/>
      <c r="G69" s="107"/>
    </row>
    <row r="70" spans="1:12" ht="15.75" hidden="1" thickBot="1" x14ac:dyDescent="0.3">
      <c r="A70" s="569">
        <f>91-F66</f>
        <v>91</v>
      </c>
      <c r="B70" s="569"/>
      <c r="C70" s="212">
        <f>D66/A70</f>
        <v>0</v>
      </c>
      <c r="D70" s="108">
        <f>C70*10</f>
        <v>0</v>
      </c>
      <c r="E70" s="109">
        <f>((D70*100)/F70)</f>
        <v>0</v>
      </c>
      <c r="F70" s="213">
        <v>10</v>
      </c>
      <c r="G70" s="110"/>
    </row>
    <row r="71" spans="1:12" ht="15.75" customHeight="1" thickBot="1" x14ac:dyDescent="0.3">
      <c r="A71" s="54"/>
      <c r="B71" s="26"/>
      <c r="C71" s="20"/>
      <c r="D71" s="21"/>
      <c r="E71" s="21"/>
      <c r="F71" s="21"/>
      <c r="G71" s="21"/>
    </row>
    <row r="72" spans="1:12" ht="19.5" customHeight="1" x14ac:dyDescent="0.25">
      <c r="A72" s="54"/>
      <c r="B72" s="28"/>
      <c r="C72" s="590" t="s">
        <v>26</v>
      </c>
      <c r="D72" s="591"/>
      <c r="E72" s="591"/>
      <c r="F72" s="591"/>
      <c r="G72" s="592"/>
    </row>
    <row r="73" spans="1:12" ht="19.5" customHeight="1" x14ac:dyDescent="0.25">
      <c r="A73" s="54"/>
      <c r="B73" s="27"/>
      <c r="C73" s="95" t="s">
        <v>7</v>
      </c>
      <c r="D73" s="88" t="s">
        <v>8</v>
      </c>
      <c r="E73" s="88" t="s">
        <v>9</v>
      </c>
      <c r="F73" s="88" t="s">
        <v>10</v>
      </c>
      <c r="G73" s="96"/>
      <c r="H73" s="10"/>
      <c r="I73" s="10"/>
      <c r="J73" s="10"/>
      <c r="K73" s="10"/>
      <c r="L73" s="10"/>
    </row>
    <row r="74" spans="1:12" ht="19.5" customHeight="1" x14ac:dyDescent="0.25">
      <c r="A74" s="54"/>
      <c r="B74" s="28"/>
      <c r="C74" s="97" t="s">
        <v>114</v>
      </c>
      <c r="D74" s="90">
        <f>(D75*4)+(D76*8)+(D77*8)+(D78*8)+(D79*8)+(D80*8)+(D82*8)+(D83*8)+(D84*8)</f>
        <v>0</v>
      </c>
      <c r="E74" s="90">
        <f>(E75+E76+E77+E78+E79+E80+E82+E83+E84)*0</f>
        <v>0</v>
      </c>
      <c r="F74" s="90">
        <f>(F75*4)+(F76*8)+(F77*8)+(F78*8)+(F79*8)+(F80*8)+(F82*8)+(F83*8)+(F84*8)</f>
        <v>0</v>
      </c>
      <c r="G74" s="98"/>
    </row>
    <row r="75" spans="1:12" ht="19.5" customHeight="1" x14ac:dyDescent="0.25">
      <c r="A75" s="54"/>
      <c r="B75" s="29">
        <v>1</v>
      </c>
      <c r="C75" s="99" t="s">
        <v>104</v>
      </c>
      <c r="D75" s="476"/>
      <c r="E75" s="476"/>
      <c r="F75" s="476"/>
      <c r="G75" s="100">
        <f t="shared" ref="G75:G80" si="0">(D75+E75+F75)-1</f>
        <v>-1</v>
      </c>
    </row>
    <row r="76" spans="1:12" ht="19.5" customHeight="1" x14ac:dyDescent="0.25">
      <c r="A76" s="54"/>
      <c r="B76" s="29">
        <v>2</v>
      </c>
      <c r="C76" s="99" t="s">
        <v>105</v>
      </c>
      <c r="D76" s="476"/>
      <c r="E76" s="476"/>
      <c r="F76" s="476"/>
      <c r="G76" s="100">
        <f t="shared" si="0"/>
        <v>-1</v>
      </c>
    </row>
    <row r="77" spans="1:12" ht="19.5" customHeight="1" x14ac:dyDescent="0.25">
      <c r="A77" s="54"/>
      <c r="B77" s="29">
        <v>3</v>
      </c>
      <c r="C77" s="99" t="s">
        <v>106</v>
      </c>
      <c r="D77" s="476"/>
      <c r="E77" s="476"/>
      <c r="F77" s="476"/>
      <c r="G77" s="100">
        <f t="shared" si="0"/>
        <v>-1</v>
      </c>
    </row>
    <row r="78" spans="1:12" ht="19.5" customHeight="1" x14ac:dyDescent="0.25">
      <c r="A78" s="54"/>
      <c r="B78" s="29">
        <v>4</v>
      </c>
      <c r="C78" s="99" t="s">
        <v>107</v>
      </c>
      <c r="D78" s="476"/>
      <c r="E78" s="476"/>
      <c r="F78" s="476"/>
      <c r="G78" s="100">
        <f t="shared" si="0"/>
        <v>-1</v>
      </c>
    </row>
    <row r="79" spans="1:12" ht="19.5" customHeight="1" x14ac:dyDescent="0.25">
      <c r="A79" s="54"/>
      <c r="B79" s="29">
        <v>5</v>
      </c>
      <c r="C79" s="99" t="s">
        <v>108</v>
      </c>
      <c r="D79" s="476"/>
      <c r="E79" s="476"/>
      <c r="F79" s="476"/>
      <c r="G79" s="100">
        <f t="shared" si="0"/>
        <v>-1</v>
      </c>
    </row>
    <row r="80" spans="1:12" ht="19.5" customHeight="1" x14ac:dyDescent="0.25">
      <c r="A80" s="54"/>
      <c r="B80" s="29"/>
      <c r="C80" s="99" t="s">
        <v>109</v>
      </c>
      <c r="D80" s="604"/>
      <c r="E80" s="604"/>
      <c r="F80" s="604"/>
      <c r="G80" s="576">
        <f t="shared" si="0"/>
        <v>-1</v>
      </c>
    </row>
    <row r="81" spans="1:12" ht="19.5" customHeight="1" x14ac:dyDescent="0.25">
      <c r="A81" s="54"/>
      <c r="B81" s="29">
        <v>6</v>
      </c>
      <c r="C81" s="99" t="s">
        <v>112</v>
      </c>
      <c r="D81" s="605"/>
      <c r="E81" s="605"/>
      <c r="F81" s="605"/>
      <c r="G81" s="576"/>
    </row>
    <row r="82" spans="1:12" ht="19.5" customHeight="1" x14ac:dyDescent="0.25">
      <c r="A82" s="54"/>
      <c r="B82" s="29">
        <v>7</v>
      </c>
      <c r="C82" s="99" t="s">
        <v>110</v>
      </c>
      <c r="D82" s="476"/>
      <c r="E82" s="476"/>
      <c r="F82" s="476"/>
      <c r="G82" s="100">
        <f>(D82+E82+F82)-1</f>
        <v>-1</v>
      </c>
    </row>
    <row r="83" spans="1:12" ht="19.5" customHeight="1" x14ac:dyDescent="0.25">
      <c r="A83" s="54"/>
      <c r="B83" s="29">
        <v>8</v>
      </c>
      <c r="C83" s="99" t="s">
        <v>113</v>
      </c>
      <c r="D83" s="476"/>
      <c r="E83" s="476"/>
      <c r="F83" s="476"/>
      <c r="G83" s="100">
        <f>(D83+E83+F83)-1</f>
        <v>-1</v>
      </c>
    </row>
    <row r="84" spans="1:12" ht="24" customHeight="1" x14ac:dyDescent="0.25">
      <c r="A84" s="54"/>
      <c r="B84" s="29">
        <v>9</v>
      </c>
      <c r="C84" s="99" t="s">
        <v>111</v>
      </c>
      <c r="D84" s="477"/>
      <c r="E84" s="477"/>
      <c r="F84" s="477"/>
      <c r="G84" s="100">
        <f>(D84+E84+F84)-1</f>
        <v>-1</v>
      </c>
    </row>
    <row r="85" spans="1:12" ht="19.5" customHeight="1" x14ac:dyDescent="0.25">
      <c r="A85" s="54"/>
      <c r="B85" s="28"/>
      <c r="C85" s="102" t="s">
        <v>259</v>
      </c>
      <c r="D85" s="93">
        <f>D74</f>
        <v>0</v>
      </c>
      <c r="E85" s="93">
        <f>E74</f>
        <v>0</v>
      </c>
      <c r="F85" s="93">
        <f>F74</f>
        <v>0</v>
      </c>
      <c r="G85" s="112">
        <f>G84+G83+G82+G81+G80+G79+G78+G77+G76+G75</f>
        <v>-9</v>
      </c>
    </row>
    <row r="86" spans="1:12" ht="19.5" customHeight="1" x14ac:dyDescent="0.25">
      <c r="A86" s="54"/>
      <c r="B86" s="28"/>
      <c r="C86" s="103"/>
      <c r="D86" s="93" t="s">
        <v>23</v>
      </c>
      <c r="E86" s="93" t="s">
        <v>24</v>
      </c>
      <c r="F86" s="93" t="s">
        <v>10</v>
      </c>
      <c r="G86" s="112" t="s">
        <v>10</v>
      </c>
    </row>
    <row r="87" spans="1:12" ht="17.25" hidden="1" customHeight="1" x14ac:dyDescent="0.25">
      <c r="A87" s="54"/>
      <c r="B87" s="28"/>
      <c r="C87" s="113">
        <f>D85/(68-E85)</f>
        <v>0</v>
      </c>
      <c r="D87" s="111"/>
      <c r="E87" s="111"/>
      <c r="F87" s="111"/>
      <c r="G87" s="114"/>
    </row>
    <row r="88" spans="1:12" ht="15.75" customHeight="1" x14ac:dyDescent="0.25">
      <c r="A88" s="54"/>
      <c r="B88" s="30"/>
      <c r="C88" s="115" t="s">
        <v>25</v>
      </c>
      <c r="D88" s="584">
        <f>G75+G76+G77+G78+G79+G80+G82+G83+G84</f>
        <v>-9</v>
      </c>
      <c r="E88" s="585"/>
      <c r="F88" s="586"/>
      <c r="G88" s="120"/>
    </row>
    <row r="89" spans="1:12" ht="15.75" hidden="1" thickBot="1" x14ac:dyDescent="0.3">
      <c r="A89" s="569">
        <f>68-F85</f>
        <v>68</v>
      </c>
      <c r="B89" s="569"/>
      <c r="C89" s="212">
        <f>D85/A89</f>
        <v>0</v>
      </c>
      <c r="D89" s="108">
        <f>C89*15</f>
        <v>0</v>
      </c>
      <c r="E89" s="109">
        <f>((D89*100)/F89)</f>
        <v>0</v>
      </c>
      <c r="F89" s="214">
        <v>15</v>
      </c>
      <c r="G89" s="110"/>
    </row>
    <row r="90" spans="1:12" ht="15.75" customHeight="1" thickBot="1" x14ac:dyDescent="0.3">
      <c r="A90" s="54"/>
      <c r="B90" s="26"/>
      <c r="C90" s="20"/>
      <c r="D90" s="21"/>
      <c r="E90" s="21"/>
      <c r="F90" s="21"/>
      <c r="G90" s="21"/>
    </row>
    <row r="91" spans="1:12" ht="15.75" customHeight="1" x14ac:dyDescent="0.25">
      <c r="A91" s="54"/>
      <c r="B91" s="28"/>
      <c r="C91" s="593" t="s">
        <v>27</v>
      </c>
      <c r="D91" s="594"/>
      <c r="E91" s="594"/>
      <c r="F91" s="594"/>
      <c r="G91" s="595"/>
    </row>
    <row r="92" spans="1:12" ht="19.5" customHeight="1" x14ac:dyDescent="0.25">
      <c r="A92" s="54"/>
      <c r="B92" s="27"/>
      <c r="C92" s="95" t="s">
        <v>7</v>
      </c>
      <c r="D92" s="88" t="s">
        <v>8</v>
      </c>
      <c r="E92" s="88" t="s">
        <v>9</v>
      </c>
      <c r="F92" s="88" t="s">
        <v>10</v>
      </c>
      <c r="G92" s="96" t="s">
        <v>10</v>
      </c>
      <c r="H92" s="10"/>
      <c r="I92" s="10"/>
      <c r="J92" s="10"/>
      <c r="K92" s="10"/>
      <c r="L92" s="10"/>
    </row>
    <row r="93" spans="1:12" ht="19.5" customHeight="1" x14ac:dyDescent="0.25">
      <c r="A93" s="54"/>
      <c r="B93" s="27"/>
      <c r="C93" s="95"/>
      <c r="D93" s="90">
        <f>(D94*2)+(D96*4)+(D97*4)+(D99*2)+(D101*2)+(D102*4)+(D103*4)+(D104*4)</f>
        <v>0</v>
      </c>
      <c r="E93" s="90">
        <f>(E94+E96+E97+E99+E101+E102+E103+E104)*0</f>
        <v>0</v>
      </c>
      <c r="F93" s="90">
        <f>(F94*2)+(F96*4)+(F97*4)+(F99*2)+(F101*2)+(F102*4)+(F103*4)+(F104*4)</f>
        <v>0</v>
      </c>
      <c r="G93" s="98"/>
      <c r="H93" s="10"/>
      <c r="I93" s="10"/>
      <c r="J93" s="10"/>
      <c r="K93" s="10"/>
      <c r="L93" s="10"/>
    </row>
    <row r="94" spans="1:12" ht="15" customHeight="1" x14ac:dyDescent="0.25">
      <c r="A94" s="54"/>
      <c r="B94" s="29">
        <v>1</v>
      </c>
      <c r="C94" s="99" t="s">
        <v>116</v>
      </c>
      <c r="D94" s="476"/>
      <c r="E94" s="476"/>
      <c r="F94" s="476"/>
      <c r="G94" s="100">
        <f>(D94+E94+F94)-1</f>
        <v>-1</v>
      </c>
    </row>
    <row r="95" spans="1:12" ht="15.75" customHeight="1" x14ac:dyDescent="0.25">
      <c r="A95" s="54"/>
      <c r="B95" s="29"/>
      <c r="C95" s="587" t="s">
        <v>28</v>
      </c>
      <c r="D95" s="588"/>
      <c r="E95" s="588"/>
      <c r="F95" s="588"/>
      <c r="G95" s="589"/>
    </row>
    <row r="96" spans="1:12" ht="15.75" customHeight="1" x14ac:dyDescent="0.25">
      <c r="A96" s="54"/>
      <c r="B96" s="29">
        <v>2</v>
      </c>
      <c r="C96" s="99" t="s">
        <v>117</v>
      </c>
      <c r="D96" s="476"/>
      <c r="E96" s="476"/>
      <c r="F96" s="476"/>
      <c r="G96" s="100">
        <f>(D96+E96+F96)-1</f>
        <v>-1</v>
      </c>
    </row>
    <row r="97" spans="1:12" ht="15" customHeight="1" x14ac:dyDescent="0.25">
      <c r="A97" s="54"/>
      <c r="B97" s="29">
        <v>3</v>
      </c>
      <c r="C97" s="99" t="s">
        <v>118</v>
      </c>
      <c r="D97" s="476"/>
      <c r="E97" s="476"/>
      <c r="F97" s="476"/>
      <c r="G97" s="100">
        <f>(D97+E97+F97)-1</f>
        <v>-1</v>
      </c>
    </row>
    <row r="98" spans="1:12" ht="15.75" customHeight="1" x14ac:dyDescent="0.25">
      <c r="A98" s="54"/>
      <c r="B98" s="29"/>
      <c r="C98" s="587" t="s">
        <v>29</v>
      </c>
      <c r="D98" s="588"/>
      <c r="E98" s="588"/>
      <c r="F98" s="588"/>
      <c r="G98" s="589"/>
    </row>
    <row r="99" spans="1:12" ht="15" customHeight="1" x14ac:dyDescent="0.25">
      <c r="A99" s="54"/>
      <c r="B99" s="29">
        <v>4</v>
      </c>
      <c r="C99" s="99" t="s">
        <v>119</v>
      </c>
      <c r="D99" s="476"/>
      <c r="E99" s="476"/>
      <c r="F99" s="476"/>
      <c r="G99" s="100">
        <f>(D99+E99+F99)-1</f>
        <v>-1</v>
      </c>
    </row>
    <row r="100" spans="1:12" ht="15.75" customHeight="1" x14ac:dyDescent="0.25">
      <c r="A100" s="54"/>
      <c r="B100" s="29"/>
      <c r="C100" s="587" t="s">
        <v>115</v>
      </c>
      <c r="D100" s="588"/>
      <c r="E100" s="588"/>
      <c r="F100" s="588"/>
      <c r="G100" s="589"/>
    </row>
    <row r="101" spans="1:12" ht="15.75" customHeight="1" x14ac:dyDescent="0.25">
      <c r="A101" s="54"/>
      <c r="B101" s="29">
        <v>5</v>
      </c>
      <c r="C101" s="99" t="s">
        <v>120</v>
      </c>
      <c r="D101" s="476"/>
      <c r="E101" s="476"/>
      <c r="F101" s="476"/>
      <c r="G101" s="100">
        <f>(D101+E101+F101)-1</f>
        <v>-1</v>
      </c>
    </row>
    <row r="102" spans="1:12" ht="15.75" customHeight="1" x14ac:dyDescent="0.25">
      <c r="A102" s="54"/>
      <c r="B102" s="29">
        <v>6</v>
      </c>
      <c r="C102" s="99" t="s">
        <v>121</v>
      </c>
      <c r="D102" s="476"/>
      <c r="E102" s="476"/>
      <c r="F102" s="476"/>
      <c r="G102" s="100">
        <f>(D102+E102+F102)-1</f>
        <v>-1</v>
      </c>
    </row>
    <row r="103" spans="1:12" ht="15.75" customHeight="1" x14ac:dyDescent="0.25">
      <c r="A103" s="54"/>
      <c r="B103" s="29">
        <v>7</v>
      </c>
      <c r="C103" s="99" t="s">
        <v>122</v>
      </c>
      <c r="D103" s="476"/>
      <c r="E103" s="476"/>
      <c r="F103" s="476"/>
      <c r="G103" s="100">
        <f>(D103+E103+F103)-1</f>
        <v>-1</v>
      </c>
    </row>
    <row r="104" spans="1:12" ht="23.25" customHeight="1" x14ac:dyDescent="0.25">
      <c r="A104" s="54"/>
      <c r="B104" s="29">
        <v>8</v>
      </c>
      <c r="C104" s="99" t="s">
        <v>123</v>
      </c>
      <c r="D104" s="476"/>
      <c r="E104" s="476"/>
      <c r="F104" s="476"/>
      <c r="G104" s="100">
        <f>(D104+E104+F104)-1</f>
        <v>-1</v>
      </c>
    </row>
    <row r="105" spans="1:12" ht="19.5" customHeight="1" x14ac:dyDescent="0.25">
      <c r="A105" s="54"/>
      <c r="B105" s="28"/>
      <c r="C105" s="117" t="s">
        <v>260</v>
      </c>
      <c r="D105" s="116">
        <f>D93</f>
        <v>0</v>
      </c>
      <c r="E105" s="116">
        <f>E93</f>
        <v>0</v>
      </c>
      <c r="F105" s="116">
        <f>F93</f>
        <v>0</v>
      </c>
      <c r="G105" s="100">
        <f>G104+G103+G102+G101+G99+G97+G96+G94</f>
        <v>-8</v>
      </c>
    </row>
    <row r="106" spans="1:12" ht="19.5" customHeight="1" x14ac:dyDescent="0.25">
      <c r="A106" s="54"/>
      <c r="B106" s="28"/>
      <c r="C106" s="118"/>
      <c r="D106" s="116" t="s">
        <v>23</v>
      </c>
      <c r="E106" s="116" t="s">
        <v>24</v>
      </c>
      <c r="F106" s="116" t="s">
        <v>10</v>
      </c>
      <c r="G106" s="119" t="s">
        <v>10</v>
      </c>
    </row>
    <row r="107" spans="1:12" ht="15.75" hidden="1" customHeight="1" x14ac:dyDescent="0.25">
      <c r="A107" s="54"/>
      <c r="B107" s="28"/>
      <c r="C107" s="104">
        <f>D105/(26-E105)</f>
        <v>0</v>
      </c>
      <c r="D107" s="94"/>
      <c r="E107" s="94"/>
      <c r="F107" s="94"/>
      <c r="G107" s="105"/>
    </row>
    <row r="108" spans="1:12" ht="15.75" customHeight="1" x14ac:dyDescent="0.25">
      <c r="A108" s="54"/>
      <c r="B108" s="28"/>
      <c r="C108" s="106" t="s">
        <v>25</v>
      </c>
      <c r="D108" s="581">
        <f>G105</f>
        <v>-8</v>
      </c>
      <c r="E108" s="582"/>
      <c r="F108" s="583"/>
      <c r="G108" s="107"/>
    </row>
    <row r="109" spans="1:12" ht="15.75" hidden="1" thickBot="1" x14ac:dyDescent="0.3">
      <c r="A109" s="567">
        <f>26-F105</f>
        <v>26</v>
      </c>
      <c r="B109" s="568"/>
      <c r="C109" s="212">
        <f>D105/A109</f>
        <v>0</v>
      </c>
      <c r="D109" s="108">
        <f>C109*25</f>
        <v>0</v>
      </c>
      <c r="E109" s="214">
        <f>((D109*100)/F109)</f>
        <v>0</v>
      </c>
      <c r="F109" s="214">
        <v>25</v>
      </c>
      <c r="G109" s="110"/>
    </row>
    <row r="110" spans="1:12" ht="15.75" customHeight="1" thickBot="1" x14ac:dyDescent="0.3">
      <c r="A110" s="54"/>
      <c r="B110" s="26"/>
      <c r="C110" s="20"/>
      <c r="D110" s="21"/>
      <c r="E110" s="21"/>
      <c r="F110" s="21"/>
      <c r="G110" s="21"/>
    </row>
    <row r="111" spans="1:12" ht="19.5" customHeight="1" x14ac:dyDescent="0.25">
      <c r="A111" s="54"/>
      <c r="B111" s="29"/>
      <c r="C111" s="590" t="s">
        <v>30</v>
      </c>
      <c r="D111" s="591"/>
      <c r="E111" s="591"/>
      <c r="F111" s="591"/>
      <c r="G111" s="592"/>
    </row>
    <row r="112" spans="1:12" ht="19.5" customHeight="1" x14ac:dyDescent="0.25">
      <c r="A112" s="54"/>
      <c r="B112" s="31"/>
      <c r="C112" s="95" t="s">
        <v>7</v>
      </c>
      <c r="D112" s="88" t="s">
        <v>8</v>
      </c>
      <c r="E112" s="88" t="s">
        <v>9</v>
      </c>
      <c r="F112" s="88" t="s">
        <v>10</v>
      </c>
      <c r="G112" s="96" t="s">
        <v>10</v>
      </c>
      <c r="H112" s="10"/>
      <c r="I112" s="10"/>
      <c r="J112" s="10"/>
      <c r="K112" s="10"/>
      <c r="L112" s="10"/>
    </row>
    <row r="113" spans="1:12" ht="19.5" customHeight="1" x14ac:dyDescent="0.25">
      <c r="A113" s="54"/>
      <c r="B113" s="29"/>
      <c r="C113" s="121" t="s">
        <v>124</v>
      </c>
      <c r="D113" s="90">
        <f>(D114*4)+(D115*8)+(D116*2)+(D117*8)</f>
        <v>0</v>
      </c>
      <c r="E113" s="90">
        <f>(E114+E115+E116+E117)*0</f>
        <v>0</v>
      </c>
      <c r="F113" s="90">
        <f>(F114*4)+(F115*8)+(F116*2)+(F117*8)</f>
        <v>0</v>
      </c>
      <c r="G113" s="98"/>
    </row>
    <row r="114" spans="1:12" ht="19.5" customHeight="1" x14ac:dyDescent="0.25">
      <c r="A114" s="54"/>
      <c r="B114" s="29">
        <v>1</v>
      </c>
      <c r="C114" s="99" t="s">
        <v>31</v>
      </c>
      <c r="D114" s="476"/>
      <c r="E114" s="476"/>
      <c r="F114" s="476"/>
      <c r="G114" s="100">
        <f>(D114+E114+F114)-1</f>
        <v>-1</v>
      </c>
    </row>
    <row r="115" spans="1:12" ht="19.5" customHeight="1" x14ac:dyDescent="0.25">
      <c r="A115" s="54"/>
      <c r="B115" s="29">
        <v>2</v>
      </c>
      <c r="C115" s="99" t="s">
        <v>32</v>
      </c>
      <c r="D115" s="476"/>
      <c r="E115" s="476"/>
      <c r="F115" s="476"/>
      <c r="G115" s="100">
        <f>(D115+E115+F115)-1</f>
        <v>-1</v>
      </c>
    </row>
    <row r="116" spans="1:12" ht="19.5" customHeight="1" x14ac:dyDescent="0.25">
      <c r="A116" s="54"/>
      <c r="B116" s="29">
        <v>3</v>
      </c>
      <c r="C116" s="99" t="s">
        <v>128</v>
      </c>
      <c r="D116" s="476"/>
      <c r="E116" s="476"/>
      <c r="F116" s="476"/>
      <c r="G116" s="100">
        <f>(D116+E116+F116)-1</f>
        <v>-1</v>
      </c>
    </row>
    <row r="117" spans="1:12" ht="19.5" customHeight="1" x14ac:dyDescent="0.25">
      <c r="A117" s="54"/>
      <c r="B117" s="29">
        <v>4</v>
      </c>
      <c r="C117" s="99" t="s">
        <v>129</v>
      </c>
      <c r="D117" s="476"/>
      <c r="E117" s="476"/>
      <c r="F117" s="476"/>
      <c r="G117" s="100">
        <f>(D117+E117+F117)-1</f>
        <v>-1</v>
      </c>
    </row>
    <row r="118" spans="1:12" ht="19.5" customHeight="1" x14ac:dyDescent="0.25">
      <c r="A118" s="54"/>
      <c r="B118" s="29"/>
      <c r="C118" s="102" t="s">
        <v>261</v>
      </c>
      <c r="D118" s="93">
        <f>D113</f>
        <v>0</v>
      </c>
      <c r="E118" s="93">
        <f>E114+E115+E116+E117</f>
        <v>0</v>
      </c>
      <c r="F118" s="93">
        <f>F113</f>
        <v>0</v>
      </c>
      <c r="G118" s="112">
        <f>G114+G115+G116+G117</f>
        <v>-4</v>
      </c>
    </row>
    <row r="119" spans="1:12" ht="19.5" customHeight="1" x14ac:dyDescent="0.25">
      <c r="A119" s="54"/>
      <c r="B119" s="29"/>
      <c r="C119" s="103"/>
      <c r="D119" s="93" t="s">
        <v>23</v>
      </c>
      <c r="E119" s="93" t="s">
        <v>24</v>
      </c>
      <c r="F119" s="93" t="s">
        <v>10</v>
      </c>
      <c r="G119" s="112" t="s">
        <v>10</v>
      </c>
    </row>
    <row r="120" spans="1:12" hidden="1" x14ac:dyDescent="0.25">
      <c r="A120" s="54"/>
      <c r="B120" s="26"/>
      <c r="C120" s="104">
        <f>D118/(22-E118)</f>
        <v>0</v>
      </c>
      <c r="D120" s="94"/>
      <c r="E120" s="94"/>
      <c r="F120" s="94"/>
      <c r="G120" s="105"/>
    </row>
    <row r="121" spans="1:12" ht="15.75" customHeight="1" x14ac:dyDescent="0.25">
      <c r="A121" s="54"/>
      <c r="B121" s="26"/>
      <c r="C121" s="106" t="s">
        <v>25</v>
      </c>
      <c r="D121" s="580">
        <f>G118</f>
        <v>-4</v>
      </c>
      <c r="E121" s="580"/>
      <c r="F121" s="580"/>
      <c r="G121" s="107"/>
    </row>
    <row r="122" spans="1:12" ht="15.75" hidden="1" thickBot="1" x14ac:dyDescent="0.3">
      <c r="A122" s="567">
        <f>22-F118</f>
        <v>22</v>
      </c>
      <c r="B122" s="568"/>
      <c r="C122" s="212">
        <f>D118/A122</f>
        <v>0</v>
      </c>
      <c r="D122" s="108">
        <f>C122*10</f>
        <v>0</v>
      </c>
      <c r="E122" s="214">
        <f>((D122*100)/F122)</f>
        <v>0</v>
      </c>
      <c r="F122" s="215">
        <v>10</v>
      </c>
      <c r="G122" s="110"/>
    </row>
    <row r="123" spans="1:12" ht="19.5" customHeight="1" thickBot="1" x14ac:dyDescent="0.3">
      <c r="A123" s="54"/>
      <c r="B123" s="26"/>
      <c r="C123" s="20"/>
      <c r="D123" s="22"/>
      <c r="E123" s="22"/>
      <c r="F123" s="22"/>
      <c r="G123" s="22"/>
    </row>
    <row r="124" spans="1:12" ht="19.5" customHeight="1" x14ac:dyDescent="0.25">
      <c r="A124" s="54"/>
      <c r="B124" s="29"/>
      <c r="C124" s="590" t="s">
        <v>33</v>
      </c>
      <c r="D124" s="591"/>
      <c r="E124" s="591"/>
      <c r="F124" s="591"/>
      <c r="G124" s="592"/>
    </row>
    <row r="125" spans="1:12" ht="19.5" customHeight="1" x14ac:dyDescent="0.25">
      <c r="A125" s="54"/>
      <c r="B125" s="31"/>
      <c r="C125" s="95" t="s">
        <v>7</v>
      </c>
      <c r="D125" s="88" t="s">
        <v>8</v>
      </c>
      <c r="E125" s="88" t="s">
        <v>9</v>
      </c>
      <c r="F125" s="88" t="s">
        <v>10</v>
      </c>
      <c r="G125" s="96" t="s">
        <v>10</v>
      </c>
      <c r="H125" s="10"/>
      <c r="I125" s="10"/>
      <c r="J125" s="10"/>
      <c r="K125" s="10"/>
      <c r="L125" s="10"/>
    </row>
    <row r="126" spans="1:12" ht="19.5" customHeight="1" x14ac:dyDescent="0.25">
      <c r="A126" s="54"/>
      <c r="B126" s="29"/>
      <c r="C126" s="97" t="s">
        <v>125</v>
      </c>
      <c r="D126" s="90">
        <f>(D127*8)</f>
        <v>0</v>
      </c>
      <c r="E126" s="90">
        <f>(E127*0)</f>
        <v>0</v>
      </c>
      <c r="F126" s="90">
        <f>(F127*8)</f>
        <v>0</v>
      </c>
      <c r="G126" s="98" t="s">
        <v>257</v>
      </c>
    </row>
    <row r="127" spans="1:12" ht="28.5" customHeight="1" x14ac:dyDescent="0.25">
      <c r="A127" s="54"/>
      <c r="B127" s="29">
        <v>1</v>
      </c>
      <c r="C127" s="99" t="s">
        <v>130</v>
      </c>
      <c r="D127" s="575"/>
      <c r="E127" s="575"/>
      <c r="F127" s="575"/>
      <c r="G127" s="576">
        <f>(D127+E127+F127)-1</f>
        <v>-1</v>
      </c>
    </row>
    <row r="128" spans="1:12" ht="70.5" customHeight="1" x14ac:dyDescent="0.25">
      <c r="A128" s="54"/>
      <c r="B128" s="29"/>
      <c r="C128" s="101" t="s">
        <v>34</v>
      </c>
      <c r="D128" s="575"/>
      <c r="E128" s="575"/>
      <c r="F128" s="575"/>
      <c r="G128" s="576"/>
    </row>
    <row r="129" spans="1:7" ht="19.5" customHeight="1" x14ac:dyDescent="0.25">
      <c r="A129" s="54"/>
      <c r="B129" s="29"/>
      <c r="C129" s="97" t="s">
        <v>126</v>
      </c>
      <c r="D129" s="90">
        <f>(D130*2)</f>
        <v>0</v>
      </c>
      <c r="E129" s="90">
        <f>(E130*0)</f>
        <v>0</v>
      </c>
      <c r="F129" s="90">
        <f>(F130*2)</f>
        <v>0</v>
      </c>
      <c r="G129" s="98"/>
    </row>
    <row r="130" spans="1:7" ht="19.5" customHeight="1" x14ac:dyDescent="0.25">
      <c r="A130" s="54"/>
      <c r="B130" s="29">
        <v>2</v>
      </c>
      <c r="C130" s="99" t="s">
        <v>35</v>
      </c>
      <c r="D130" s="476"/>
      <c r="E130" s="476"/>
      <c r="F130" s="476"/>
      <c r="G130" s="100">
        <f>(D130+E130+F130)-1</f>
        <v>-1</v>
      </c>
    </row>
    <row r="131" spans="1:7" ht="19.5" customHeight="1" x14ac:dyDescent="0.25">
      <c r="A131" s="54"/>
      <c r="B131" s="29"/>
      <c r="C131" s="97" t="s">
        <v>131</v>
      </c>
      <c r="D131" s="90">
        <f>(D132*4)+(D133*2)+(D134*4)+(D135*4)</f>
        <v>0</v>
      </c>
      <c r="E131" s="90">
        <f>(E132+E133+E134+E135)*0</f>
        <v>0</v>
      </c>
      <c r="F131" s="90">
        <f>(F132*4)+(F133*2)+(F134*4)+(F135*4)</f>
        <v>0</v>
      </c>
      <c r="G131" s="98"/>
    </row>
    <row r="132" spans="1:7" ht="19.5" customHeight="1" x14ac:dyDescent="0.25">
      <c r="A132" s="54"/>
      <c r="B132" s="29">
        <v>3</v>
      </c>
      <c r="C132" s="99" t="s">
        <v>132</v>
      </c>
      <c r="D132" s="476"/>
      <c r="E132" s="476"/>
      <c r="F132" s="476"/>
      <c r="G132" s="100">
        <f>(D132+E132+F132)-1</f>
        <v>-1</v>
      </c>
    </row>
    <row r="133" spans="1:7" ht="19.5" customHeight="1" x14ac:dyDescent="0.25">
      <c r="A133" s="54"/>
      <c r="B133" s="29">
        <v>4</v>
      </c>
      <c r="C133" s="99" t="s">
        <v>133</v>
      </c>
      <c r="D133" s="476"/>
      <c r="E133" s="476"/>
      <c r="F133" s="476"/>
      <c r="G133" s="100">
        <f>(D133+E133+F133)-1</f>
        <v>-1</v>
      </c>
    </row>
    <row r="134" spans="1:7" ht="19.5" customHeight="1" x14ac:dyDescent="0.25">
      <c r="A134" s="54"/>
      <c r="B134" s="29">
        <v>5</v>
      </c>
      <c r="C134" s="99" t="s">
        <v>134</v>
      </c>
      <c r="D134" s="476"/>
      <c r="E134" s="476"/>
      <c r="F134" s="476"/>
      <c r="G134" s="100">
        <f>(D134+E134+F134)-1</f>
        <v>-1</v>
      </c>
    </row>
    <row r="135" spans="1:7" ht="19.5" customHeight="1" x14ac:dyDescent="0.25">
      <c r="A135" s="54"/>
      <c r="B135" s="29">
        <v>6</v>
      </c>
      <c r="C135" s="99" t="s">
        <v>135</v>
      </c>
      <c r="D135" s="476"/>
      <c r="E135" s="476"/>
      <c r="F135" s="476"/>
      <c r="G135" s="100">
        <f>(D135+E135+F135)-1</f>
        <v>-1</v>
      </c>
    </row>
    <row r="136" spans="1:7" ht="19.5" customHeight="1" x14ac:dyDescent="0.25">
      <c r="A136" s="54"/>
      <c r="B136" s="29"/>
      <c r="C136" s="97" t="s">
        <v>136</v>
      </c>
      <c r="D136" s="90">
        <f>(D137*4)+(D138*2)+(D139*4)+(D140*4)+(D141*4)+(D142*4)</f>
        <v>0</v>
      </c>
      <c r="E136" s="90">
        <f>(E137+E138+E139+E140+E141+E142)*0</f>
        <v>0</v>
      </c>
      <c r="F136" s="90">
        <f>(F137*4)+(F138*2)+(F139*4)+(F140*4)+(F141*4)+(F142*4)</f>
        <v>0</v>
      </c>
      <c r="G136" s="98"/>
    </row>
    <row r="137" spans="1:7" ht="47.25" customHeight="1" x14ac:dyDescent="0.25">
      <c r="A137" s="54"/>
      <c r="B137" s="29">
        <v>7</v>
      </c>
      <c r="C137" s="99" t="s">
        <v>137</v>
      </c>
      <c r="D137" s="476"/>
      <c r="E137" s="476"/>
      <c r="F137" s="476"/>
      <c r="G137" s="100">
        <f t="shared" ref="G137:G142" si="1">(D137+E137+F137)-1</f>
        <v>-1</v>
      </c>
    </row>
    <row r="138" spans="1:7" ht="19.5" customHeight="1" x14ac:dyDescent="0.25">
      <c r="A138" s="54"/>
      <c r="B138" s="29">
        <v>8</v>
      </c>
      <c r="C138" s="99" t="s">
        <v>36</v>
      </c>
      <c r="D138" s="476"/>
      <c r="E138" s="476"/>
      <c r="F138" s="476"/>
      <c r="G138" s="100">
        <f t="shared" si="1"/>
        <v>-1</v>
      </c>
    </row>
    <row r="139" spans="1:7" ht="19.5" customHeight="1" x14ac:dyDescent="0.25">
      <c r="A139" s="54"/>
      <c r="B139" s="29">
        <v>9</v>
      </c>
      <c r="C139" s="99" t="s">
        <v>138</v>
      </c>
      <c r="D139" s="476"/>
      <c r="E139" s="476"/>
      <c r="F139" s="476"/>
      <c r="G139" s="100">
        <f t="shared" si="1"/>
        <v>-1</v>
      </c>
    </row>
    <row r="140" spans="1:7" ht="19.5" customHeight="1" x14ac:dyDescent="0.25">
      <c r="A140" s="54"/>
      <c r="B140" s="29">
        <v>10</v>
      </c>
      <c r="C140" s="99" t="s">
        <v>139</v>
      </c>
      <c r="D140" s="476"/>
      <c r="E140" s="476"/>
      <c r="F140" s="476"/>
      <c r="G140" s="100">
        <f t="shared" si="1"/>
        <v>-1</v>
      </c>
    </row>
    <row r="141" spans="1:7" ht="19.5" customHeight="1" x14ac:dyDescent="0.25">
      <c r="A141" s="54"/>
      <c r="B141" s="29">
        <v>11</v>
      </c>
      <c r="C141" s="99" t="s">
        <v>140</v>
      </c>
      <c r="D141" s="476"/>
      <c r="E141" s="476"/>
      <c r="F141" s="476"/>
      <c r="G141" s="100">
        <f t="shared" si="1"/>
        <v>-1</v>
      </c>
    </row>
    <row r="142" spans="1:7" ht="19.5" customHeight="1" x14ac:dyDescent="0.25">
      <c r="A142" s="54"/>
      <c r="B142" s="29">
        <v>12</v>
      </c>
      <c r="C142" s="99" t="s">
        <v>141</v>
      </c>
      <c r="D142" s="476"/>
      <c r="E142" s="476"/>
      <c r="F142" s="476"/>
      <c r="G142" s="100">
        <f t="shared" si="1"/>
        <v>-1</v>
      </c>
    </row>
    <row r="143" spans="1:7" ht="19.5" customHeight="1" x14ac:dyDescent="0.25">
      <c r="A143" s="54"/>
      <c r="B143" s="29"/>
      <c r="C143" s="97" t="s">
        <v>142</v>
      </c>
      <c r="D143" s="90">
        <f>(D144*8)+(D145*8)</f>
        <v>0</v>
      </c>
      <c r="E143" s="90">
        <f>(E144+E145)*0</f>
        <v>0</v>
      </c>
      <c r="F143" s="90">
        <f>(F144*8)+(F145*8)</f>
        <v>0</v>
      </c>
      <c r="G143" s="98"/>
    </row>
    <row r="144" spans="1:7" ht="35.25" customHeight="1" x14ac:dyDescent="0.25">
      <c r="A144" s="54"/>
      <c r="B144" s="29">
        <v>13</v>
      </c>
      <c r="C144" s="99" t="s">
        <v>143</v>
      </c>
      <c r="D144" s="476"/>
      <c r="E144" s="476"/>
      <c r="F144" s="476"/>
      <c r="G144" s="100">
        <f>(D144+E144+F144)-1</f>
        <v>-1</v>
      </c>
    </row>
    <row r="145" spans="1:7" ht="24" customHeight="1" x14ac:dyDescent="0.25">
      <c r="A145" s="54"/>
      <c r="B145" s="29">
        <v>14</v>
      </c>
      <c r="C145" s="99" t="s">
        <v>144</v>
      </c>
      <c r="D145" s="477"/>
      <c r="E145" s="477"/>
      <c r="F145" s="477"/>
      <c r="G145" s="100">
        <f>(D145+E145+F145)-1</f>
        <v>-1</v>
      </c>
    </row>
    <row r="146" spans="1:7" ht="19.5" customHeight="1" x14ac:dyDescent="0.25">
      <c r="A146" s="54"/>
      <c r="B146" s="29"/>
      <c r="C146" s="97" t="s">
        <v>145</v>
      </c>
      <c r="D146" s="90">
        <f>(D147*8)</f>
        <v>0</v>
      </c>
      <c r="E146" s="90">
        <f>E147*0</f>
        <v>0</v>
      </c>
      <c r="F146" s="90">
        <f>(F147*8)</f>
        <v>0</v>
      </c>
      <c r="G146" s="98"/>
    </row>
    <row r="147" spans="1:7" ht="19.5" customHeight="1" x14ac:dyDescent="0.25">
      <c r="A147" s="54"/>
      <c r="B147" s="29">
        <v>15</v>
      </c>
      <c r="C147" s="99" t="s">
        <v>154</v>
      </c>
      <c r="D147" s="476"/>
      <c r="E147" s="476"/>
      <c r="F147" s="476"/>
      <c r="G147" s="100">
        <f>(D147+E147+F147)-1</f>
        <v>-1</v>
      </c>
    </row>
    <row r="148" spans="1:7" ht="19.5" customHeight="1" x14ac:dyDescent="0.25">
      <c r="A148" s="54"/>
      <c r="B148" s="29"/>
      <c r="C148" s="97" t="s">
        <v>127</v>
      </c>
      <c r="D148" s="90">
        <f>(D149*8)+(D151*8)+(D152*8)+(D153*8)+(D154*8)+(D155*8)</f>
        <v>0</v>
      </c>
      <c r="E148" s="90">
        <f>(E149+E151+E152+E153+E154+E155)*0</f>
        <v>0</v>
      </c>
      <c r="F148" s="90">
        <f>(F149*8)+(F151*8)+(F152*8)+(F153*8)+(F154*8)+(F155*8)</f>
        <v>0</v>
      </c>
      <c r="G148" s="98"/>
    </row>
    <row r="149" spans="1:7" ht="19.5" customHeight="1" x14ac:dyDescent="0.25">
      <c r="A149" s="54"/>
      <c r="B149" s="29">
        <v>16</v>
      </c>
      <c r="C149" s="99" t="s">
        <v>155</v>
      </c>
      <c r="D149" s="476"/>
      <c r="E149" s="476"/>
      <c r="F149" s="476"/>
      <c r="G149" s="100">
        <f>(D149+E149+F149)-1</f>
        <v>-1</v>
      </c>
    </row>
    <row r="150" spans="1:7" ht="19.5" customHeight="1" x14ac:dyDescent="0.25">
      <c r="A150" s="54"/>
      <c r="B150" s="29"/>
      <c r="C150" s="577" t="s">
        <v>146</v>
      </c>
      <c r="D150" s="578"/>
      <c r="E150" s="578"/>
      <c r="F150" s="579"/>
      <c r="G150" s="98"/>
    </row>
    <row r="151" spans="1:7" ht="19.5" customHeight="1" x14ac:dyDescent="0.25">
      <c r="A151" s="54"/>
      <c r="B151" s="29">
        <v>17</v>
      </c>
      <c r="C151" s="99" t="s">
        <v>156</v>
      </c>
      <c r="D151" s="87"/>
      <c r="E151" s="87"/>
      <c r="F151" s="87"/>
      <c r="G151" s="100">
        <f>(D151+E151+F151)-1</f>
        <v>-1</v>
      </c>
    </row>
    <row r="152" spans="1:7" ht="19.5" customHeight="1" x14ac:dyDescent="0.25">
      <c r="A152" s="54"/>
      <c r="B152" s="29">
        <v>18</v>
      </c>
      <c r="C152" s="99" t="s">
        <v>157</v>
      </c>
      <c r="D152" s="87"/>
      <c r="E152" s="87"/>
      <c r="F152" s="87"/>
      <c r="G152" s="100">
        <f>(D152+E152+F152)-1</f>
        <v>-1</v>
      </c>
    </row>
    <row r="153" spans="1:7" ht="19.5" customHeight="1" x14ac:dyDescent="0.25">
      <c r="A153" s="54"/>
      <c r="B153" s="29">
        <v>19</v>
      </c>
      <c r="C153" s="99" t="s">
        <v>158</v>
      </c>
      <c r="D153" s="87"/>
      <c r="E153" s="87"/>
      <c r="F153" s="87"/>
      <c r="G153" s="100">
        <f>(D153+E153+F153)-1</f>
        <v>-1</v>
      </c>
    </row>
    <row r="154" spans="1:7" ht="19.5" customHeight="1" x14ac:dyDescent="0.25">
      <c r="A154" s="54"/>
      <c r="B154" s="29">
        <v>20</v>
      </c>
      <c r="C154" s="99" t="s">
        <v>159</v>
      </c>
      <c r="D154" s="87"/>
      <c r="E154" s="87"/>
      <c r="F154" s="87"/>
      <c r="G154" s="100">
        <f>(D154+E154+F154)-1</f>
        <v>-1</v>
      </c>
    </row>
    <row r="155" spans="1:7" ht="19.5" customHeight="1" x14ac:dyDescent="0.25">
      <c r="A155" s="54"/>
      <c r="B155" s="29">
        <v>21</v>
      </c>
      <c r="C155" s="99" t="s">
        <v>37</v>
      </c>
      <c r="D155" s="91"/>
      <c r="E155" s="91"/>
      <c r="F155" s="91"/>
      <c r="G155" s="100">
        <f>(D155+E155+F155)-1</f>
        <v>-1</v>
      </c>
    </row>
    <row r="156" spans="1:7" ht="19.5" customHeight="1" x14ac:dyDescent="0.25">
      <c r="A156" s="54"/>
      <c r="B156" s="29"/>
      <c r="C156" s="564" t="s">
        <v>38</v>
      </c>
      <c r="D156" s="565"/>
      <c r="E156" s="565"/>
      <c r="F156" s="566"/>
      <c r="G156" s="98"/>
    </row>
    <row r="157" spans="1:7" ht="19.5" customHeight="1" x14ac:dyDescent="0.25">
      <c r="A157" s="54"/>
      <c r="B157" s="29"/>
      <c r="C157" s="97" t="s">
        <v>147</v>
      </c>
      <c r="D157" s="90">
        <f>(D158*1)</f>
        <v>0</v>
      </c>
      <c r="E157" s="90">
        <f>E158*0</f>
        <v>0</v>
      </c>
      <c r="F157" s="90">
        <f>(F158*1)</f>
        <v>0</v>
      </c>
      <c r="G157" s="98"/>
    </row>
    <row r="158" spans="1:7" ht="30.75" customHeight="1" x14ac:dyDescent="0.25">
      <c r="A158" s="54"/>
      <c r="B158" s="29">
        <v>22</v>
      </c>
      <c r="C158" s="99" t="s">
        <v>39</v>
      </c>
      <c r="D158" s="476"/>
      <c r="E158" s="476"/>
      <c r="F158" s="476"/>
      <c r="G158" s="100">
        <f>(D158+E158+F158)-1</f>
        <v>-1</v>
      </c>
    </row>
    <row r="159" spans="1:7" ht="19.5" customHeight="1" x14ac:dyDescent="0.25">
      <c r="A159" s="54"/>
      <c r="B159" s="29"/>
      <c r="C159" s="97" t="s">
        <v>148</v>
      </c>
      <c r="D159" s="90">
        <f>(D160*8)</f>
        <v>0</v>
      </c>
      <c r="E159" s="90">
        <f>E160*0</f>
        <v>0</v>
      </c>
      <c r="F159" s="90">
        <f>(F160*8)</f>
        <v>0</v>
      </c>
      <c r="G159" s="98"/>
    </row>
    <row r="160" spans="1:7" ht="19.5" customHeight="1" x14ac:dyDescent="0.25">
      <c r="A160" s="54"/>
      <c r="B160" s="29">
        <v>23</v>
      </c>
      <c r="C160" s="99" t="s">
        <v>160</v>
      </c>
      <c r="D160" s="476"/>
      <c r="E160" s="476"/>
      <c r="F160" s="476"/>
      <c r="G160" s="100">
        <f>(D160+E160+F160)-1</f>
        <v>-1</v>
      </c>
    </row>
    <row r="161" spans="1:7" ht="19.5" customHeight="1" x14ac:dyDescent="0.25">
      <c r="A161" s="54"/>
      <c r="B161" s="29"/>
      <c r="C161" s="564" t="s">
        <v>40</v>
      </c>
      <c r="D161" s="565"/>
      <c r="E161" s="565"/>
      <c r="F161" s="566"/>
      <c r="G161" s="98"/>
    </row>
    <row r="162" spans="1:7" ht="19.5" customHeight="1" x14ac:dyDescent="0.25">
      <c r="A162" s="54"/>
      <c r="B162" s="29"/>
      <c r="C162" s="97" t="s">
        <v>149</v>
      </c>
      <c r="D162" s="90">
        <f>(D163*8)</f>
        <v>0</v>
      </c>
      <c r="E162" s="90">
        <f>E163*0</f>
        <v>0</v>
      </c>
      <c r="F162" s="90">
        <f>(F163*8)</f>
        <v>0</v>
      </c>
      <c r="G162" s="98"/>
    </row>
    <row r="163" spans="1:7" ht="19.5" customHeight="1" x14ac:dyDescent="0.25">
      <c r="A163" s="54"/>
      <c r="B163" s="29">
        <v>24</v>
      </c>
      <c r="C163" s="99" t="s">
        <v>161</v>
      </c>
      <c r="D163" s="476"/>
      <c r="E163" s="476"/>
      <c r="F163" s="476"/>
      <c r="G163" s="100">
        <f>(D163+E163+F163)-1</f>
        <v>-1</v>
      </c>
    </row>
    <row r="164" spans="1:7" ht="19.5" customHeight="1" x14ac:dyDescent="0.25">
      <c r="A164" s="54"/>
      <c r="B164" s="29"/>
      <c r="C164" s="97" t="s">
        <v>150</v>
      </c>
      <c r="D164" s="90">
        <f>(D165*8)</f>
        <v>0</v>
      </c>
      <c r="E164" s="90">
        <f>E165*0</f>
        <v>0</v>
      </c>
      <c r="F164" s="90">
        <f>(F165*8)</f>
        <v>0</v>
      </c>
      <c r="G164" s="98"/>
    </row>
    <row r="165" spans="1:7" ht="19.5" customHeight="1" x14ac:dyDescent="0.25">
      <c r="A165" s="54"/>
      <c r="B165" s="29">
        <v>25</v>
      </c>
      <c r="C165" s="99" t="s">
        <v>162</v>
      </c>
      <c r="D165" s="476"/>
      <c r="E165" s="476"/>
      <c r="F165" s="476"/>
      <c r="G165" s="100">
        <f>(D165+E165+F165)-1</f>
        <v>-1</v>
      </c>
    </row>
    <row r="166" spans="1:7" ht="19.5" customHeight="1" x14ac:dyDescent="0.25">
      <c r="A166" s="54"/>
      <c r="B166" s="29"/>
      <c r="C166" s="97" t="s">
        <v>151</v>
      </c>
      <c r="D166" s="90">
        <f>(D167*4)</f>
        <v>0</v>
      </c>
      <c r="E166" s="90">
        <f>E167*0</f>
        <v>0</v>
      </c>
      <c r="F166" s="90">
        <f>(F167*4)</f>
        <v>0</v>
      </c>
      <c r="G166" s="98"/>
    </row>
    <row r="167" spans="1:7" ht="19.5" customHeight="1" x14ac:dyDescent="0.25">
      <c r="A167" s="54"/>
      <c r="B167" s="29">
        <v>26</v>
      </c>
      <c r="C167" s="99" t="s">
        <v>163</v>
      </c>
      <c r="D167" s="476"/>
      <c r="E167" s="476"/>
      <c r="F167" s="476"/>
      <c r="G167" s="100">
        <f>(D167+E167+F167)-1</f>
        <v>-1</v>
      </c>
    </row>
    <row r="168" spans="1:7" ht="19.5" customHeight="1" x14ac:dyDescent="0.25">
      <c r="A168" s="54"/>
      <c r="B168" s="29"/>
      <c r="C168" s="97" t="s">
        <v>152</v>
      </c>
      <c r="D168" s="90">
        <f>(D169*8)+(D170*8)</f>
        <v>0</v>
      </c>
      <c r="E168" s="90">
        <f>(E169+E170)*0</f>
        <v>0</v>
      </c>
      <c r="F168" s="90">
        <f>(F169*8)+(F170*8)</f>
        <v>0</v>
      </c>
      <c r="G168" s="98"/>
    </row>
    <row r="169" spans="1:7" ht="19.5" customHeight="1" x14ac:dyDescent="0.25">
      <c r="A169" s="54"/>
      <c r="B169" s="29">
        <v>27</v>
      </c>
      <c r="C169" s="99" t="s">
        <v>164</v>
      </c>
      <c r="D169" s="476"/>
      <c r="E169" s="476"/>
      <c r="F169" s="476"/>
      <c r="G169" s="100">
        <f>(D169+E169+F169)-1</f>
        <v>-1</v>
      </c>
    </row>
    <row r="170" spans="1:7" ht="19.5" customHeight="1" x14ac:dyDescent="0.25">
      <c r="A170" s="54"/>
      <c r="B170" s="29">
        <v>28</v>
      </c>
      <c r="C170" s="99" t="s">
        <v>165</v>
      </c>
      <c r="D170" s="476"/>
      <c r="E170" s="476"/>
      <c r="F170" s="476"/>
      <c r="G170" s="100">
        <f>(D170+E170+F170)-1</f>
        <v>-1</v>
      </c>
    </row>
    <row r="171" spans="1:7" ht="19.5" customHeight="1" x14ac:dyDescent="0.25">
      <c r="A171" s="54"/>
      <c r="B171" s="29"/>
      <c r="C171" s="97" t="s">
        <v>153</v>
      </c>
      <c r="D171" s="90">
        <f>(D172*2)+(D173*2)+(D174*8)+(D175*2)+(D176*8)+(D177*8)+(D178*8)</f>
        <v>0</v>
      </c>
      <c r="E171" s="90">
        <f>(E172+E173+E174+E175)*0</f>
        <v>0</v>
      </c>
      <c r="F171" s="90">
        <f>(F172*2)+(F173*2)+(F174*8)+(F175*2)+(F176*8)+(F177*8)+(F178*8)</f>
        <v>0</v>
      </c>
      <c r="G171" s="98"/>
    </row>
    <row r="172" spans="1:7" ht="19.5" customHeight="1" x14ac:dyDescent="0.25">
      <c r="A172" s="54"/>
      <c r="B172" s="29">
        <v>29</v>
      </c>
      <c r="C172" s="99" t="s">
        <v>166</v>
      </c>
      <c r="D172" s="476"/>
      <c r="E172" s="476"/>
      <c r="F172" s="476"/>
      <c r="G172" s="100">
        <f>(D172+E172+F172)-1</f>
        <v>-1</v>
      </c>
    </row>
    <row r="173" spans="1:7" ht="19.5" customHeight="1" x14ac:dyDescent="0.25">
      <c r="A173" s="54"/>
      <c r="B173" s="29">
        <v>30</v>
      </c>
      <c r="C173" s="99" t="s">
        <v>167</v>
      </c>
      <c r="D173" s="476"/>
      <c r="E173" s="476"/>
      <c r="F173" s="476"/>
      <c r="G173" s="100">
        <f t="shared" ref="G173:G178" si="2">(D173+E173+F173)-1</f>
        <v>-1</v>
      </c>
    </row>
    <row r="174" spans="1:7" ht="19.5" customHeight="1" x14ac:dyDescent="0.25">
      <c r="A174" s="54"/>
      <c r="B174" s="29">
        <v>31</v>
      </c>
      <c r="C174" s="99" t="s">
        <v>168</v>
      </c>
      <c r="D174" s="476"/>
      <c r="E174" s="476"/>
      <c r="F174" s="476"/>
      <c r="G174" s="100">
        <f t="shared" si="2"/>
        <v>-1</v>
      </c>
    </row>
    <row r="175" spans="1:7" ht="19.5" customHeight="1" x14ac:dyDescent="0.25">
      <c r="A175" s="54"/>
      <c r="B175" s="29">
        <v>32</v>
      </c>
      <c r="C175" s="99" t="s">
        <v>169</v>
      </c>
      <c r="D175" s="476"/>
      <c r="E175" s="476"/>
      <c r="F175" s="476"/>
      <c r="G175" s="100">
        <f t="shared" si="2"/>
        <v>-1</v>
      </c>
    </row>
    <row r="176" spans="1:7" ht="19.5" customHeight="1" x14ac:dyDescent="0.25">
      <c r="A176" s="54"/>
      <c r="B176" s="29">
        <v>33</v>
      </c>
      <c r="C176" s="99" t="s">
        <v>170</v>
      </c>
      <c r="D176" s="476"/>
      <c r="E176" s="476"/>
      <c r="F176" s="476"/>
      <c r="G176" s="100">
        <f t="shared" si="2"/>
        <v>-1</v>
      </c>
    </row>
    <row r="177" spans="1:12" ht="19.5" customHeight="1" x14ac:dyDescent="0.25">
      <c r="A177" s="54"/>
      <c r="B177" s="29">
        <v>34</v>
      </c>
      <c r="C177" s="99" t="s">
        <v>171</v>
      </c>
      <c r="D177" s="476"/>
      <c r="E177" s="476"/>
      <c r="F177" s="476"/>
      <c r="G177" s="100">
        <f t="shared" si="2"/>
        <v>-1</v>
      </c>
    </row>
    <row r="178" spans="1:12" ht="19.5" customHeight="1" x14ac:dyDescent="0.25">
      <c r="A178" s="54"/>
      <c r="B178" s="29">
        <v>35</v>
      </c>
      <c r="C178" s="99" t="s">
        <v>172</v>
      </c>
      <c r="D178" s="476"/>
      <c r="E178" s="476"/>
      <c r="F178" s="476"/>
      <c r="G178" s="100">
        <f t="shared" si="2"/>
        <v>-1</v>
      </c>
    </row>
    <row r="179" spans="1:12" ht="15.75" customHeight="1" x14ac:dyDescent="0.25">
      <c r="A179" s="54"/>
      <c r="B179" s="29"/>
      <c r="C179" s="102" t="s">
        <v>275</v>
      </c>
      <c r="D179" s="93">
        <f>D171+D168+D166+D164+D162+D159+D157+D148+D146+D143+D136+D131+D129+D126</f>
        <v>0</v>
      </c>
      <c r="E179" s="93">
        <f>E171+E168+E166+E164+E162+E159+E157+E148+E146+E143+E136+E131+E129+E126</f>
        <v>0</v>
      </c>
      <c r="F179" s="93">
        <f>F171+F168+F166+F164+F162+F159+F157+F148+F146+F143+F136+F131+F129+F126</f>
        <v>0</v>
      </c>
    </row>
    <row r="180" spans="1:12" ht="15.75" customHeight="1" x14ac:dyDescent="0.25">
      <c r="A180" s="54"/>
      <c r="B180" s="29"/>
      <c r="C180" s="103"/>
      <c r="D180" s="93" t="s">
        <v>23</v>
      </c>
      <c r="E180" s="93" t="s">
        <v>24</v>
      </c>
      <c r="F180" s="93" t="s">
        <v>10</v>
      </c>
      <c r="G180" s="98">
        <f>G127+G128+G129+G130+G131+G132+G133+G134+G135+G136+G137+G138+G139++G140+G141+G142+G143+G144+G145+G146+G147+G148+G149+G150+G151+G152+G153++G154+G155+G156+G157+G158+G159+G160+G161+G162+G163+G164+G165+G166+G167++G168+G169+G170+G171+G172+G173+G174+G175+G176+G177+G178</f>
        <v>-35</v>
      </c>
    </row>
    <row r="181" spans="1:12" ht="15" hidden="1" customHeight="1" x14ac:dyDescent="0.25">
      <c r="A181" s="54"/>
      <c r="B181" s="26"/>
      <c r="C181" s="104">
        <f>D179/(201-E179)</f>
        <v>0</v>
      </c>
      <c r="D181" s="94"/>
      <c r="E181" s="94"/>
      <c r="F181" s="94"/>
      <c r="G181" s="105"/>
    </row>
    <row r="182" spans="1:12" ht="15.75" customHeight="1" thickBot="1" x14ac:dyDescent="0.3">
      <c r="A182" s="54"/>
      <c r="B182" s="26"/>
      <c r="C182" s="125" t="s">
        <v>25</v>
      </c>
      <c r="D182" s="572">
        <f>G180</f>
        <v>-35</v>
      </c>
      <c r="E182" s="573"/>
      <c r="F182" s="573"/>
      <c r="G182" s="574"/>
    </row>
    <row r="183" spans="1:12" ht="15.75" hidden="1" thickBot="1" x14ac:dyDescent="0.3">
      <c r="A183" s="569">
        <f>201-F179</f>
        <v>201</v>
      </c>
      <c r="B183" s="569"/>
      <c r="C183" s="216">
        <f>D179/A183</f>
        <v>0</v>
      </c>
      <c r="D183" s="122">
        <f>C183*F183</f>
        <v>0</v>
      </c>
      <c r="E183" s="214">
        <f>((D183*100)/F183)</f>
        <v>0</v>
      </c>
      <c r="F183" s="217">
        <v>30</v>
      </c>
      <c r="G183" s="123"/>
    </row>
    <row r="184" spans="1:12" ht="15.75" customHeight="1" thickBot="1" x14ac:dyDescent="0.3">
      <c r="A184" s="54"/>
      <c r="B184" s="26"/>
      <c r="C184" s="20"/>
      <c r="D184" s="21"/>
      <c r="E184" s="21"/>
      <c r="F184" s="21"/>
      <c r="G184" s="21"/>
    </row>
    <row r="185" spans="1:12" ht="15.75" customHeight="1" x14ac:dyDescent="0.25">
      <c r="A185" s="54"/>
      <c r="B185" s="31"/>
      <c r="C185" s="590" t="s">
        <v>41</v>
      </c>
      <c r="D185" s="591"/>
      <c r="E185" s="591"/>
      <c r="F185" s="591"/>
      <c r="G185" s="592"/>
      <c r="H185" s="10"/>
      <c r="I185" s="10"/>
      <c r="J185" s="10"/>
      <c r="K185" s="10"/>
      <c r="L185" s="10"/>
    </row>
    <row r="186" spans="1:12" ht="19.5" customHeight="1" x14ac:dyDescent="0.25">
      <c r="A186" s="54"/>
      <c r="B186" s="31"/>
      <c r="C186" s="95" t="s">
        <v>7</v>
      </c>
      <c r="D186" s="88" t="s">
        <v>8</v>
      </c>
      <c r="E186" s="88" t="s">
        <v>9</v>
      </c>
      <c r="F186" s="88" t="s">
        <v>10</v>
      </c>
      <c r="G186" s="96"/>
      <c r="H186" s="10"/>
      <c r="I186" s="10"/>
      <c r="J186" s="10"/>
      <c r="K186" s="10"/>
      <c r="L186" s="10"/>
    </row>
    <row r="187" spans="1:12" ht="19.5" customHeight="1" x14ac:dyDescent="0.25">
      <c r="A187" s="54"/>
      <c r="B187" s="31"/>
      <c r="C187" s="97" t="s">
        <v>175</v>
      </c>
      <c r="D187" s="90">
        <f>(D188*2)+(D189*2)</f>
        <v>0</v>
      </c>
      <c r="E187" s="90">
        <f>(E188+E189)*0</f>
        <v>0</v>
      </c>
      <c r="F187" s="90">
        <f>(F188*2)+(F189*2)</f>
        <v>0</v>
      </c>
      <c r="G187" s="98" t="s">
        <v>257</v>
      </c>
      <c r="H187" s="18"/>
      <c r="I187" s="18"/>
      <c r="J187" s="18"/>
      <c r="K187" s="18"/>
      <c r="L187" s="18"/>
    </row>
    <row r="188" spans="1:12" ht="23.25" customHeight="1" x14ac:dyDescent="0.25">
      <c r="A188" s="54"/>
      <c r="B188" s="31">
        <v>1</v>
      </c>
      <c r="C188" s="99" t="s">
        <v>173</v>
      </c>
      <c r="D188" s="87"/>
      <c r="E188" s="87"/>
      <c r="F188" s="87"/>
      <c r="G188" s="100">
        <f>(D188+E188+F188)-1</f>
        <v>-1</v>
      </c>
      <c r="H188" s="18"/>
      <c r="I188" s="18"/>
      <c r="J188" s="18"/>
      <c r="K188" s="18"/>
      <c r="L188" s="18"/>
    </row>
    <row r="189" spans="1:12" ht="19.5" customHeight="1" x14ac:dyDescent="0.25">
      <c r="A189" s="54"/>
      <c r="B189" s="31">
        <v>2</v>
      </c>
      <c r="C189" s="99" t="s">
        <v>174</v>
      </c>
      <c r="D189" s="87"/>
      <c r="E189" s="87"/>
      <c r="F189" s="87"/>
      <c r="G189" s="100">
        <f>(D189+E189+F189)-1</f>
        <v>-1</v>
      </c>
      <c r="H189" s="18"/>
      <c r="I189" s="18"/>
      <c r="J189" s="18"/>
      <c r="K189" s="18"/>
      <c r="L189" s="18"/>
    </row>
    <row r="190" spans="1:12" ht="19.5" customHeight="1" x14ac:dyDescent="0.25">
      <c r="A190" s="54"/>
      <c r="B190" s="31"/>
      <c r="C190" s="97" t="s">
        <v>176</v>
      </c>
      <c r="D190" s="90">
        <f>(D191*2)+(D192*4)+(D194*4)+(D195*4)+(D196*4)+(D197*2)+(D198*2)</f>
        <v>0</v>
      </c>
      <c r="E190" s="90">
        <f>(E191+E192+E194+E195+E196+E197+E198)*0</f>
        <v>0</v>
      </c>
      <c r="F190" s="90">
        <f>(F191*2)+(F192*4)+(F194*4)+(F195*4)+(F196*4)+(F197*2)+(F198*2)</f>
        <v>0</v>
      </c>
      <c r="G190" s="98"/>
      <c r="H190" s="18"/>
      <c r="I190" s="18"/>
      <c r="J190" s="18"/>
      <c r="K190" s="18"/>
      <c r="L190" s="18"/>
    </row>
    <row r="191" spans="1:12" ht="19.5" customHeight="1" x14ac:dyDescent="0.25">
      <c r="A191" s="54"/>
      <c r="B191" s="31">
        <v>3</v>
      </c>
      <c r="C191" s="99" t="s">
        <v>186</v>
      </c>
      <c r="D191" s="87"/>
      <c r="E191" s="87"/>
      <c r="F191" s="87"/>
      <c r="G191" s="100">
        <f>(D191+E191+F191)-1</f>
        <v>-1</v>
      </c>
      <c r="H191" s="18"/>
      <c r="I191" s="18"/>
      <c r="J191" s="18"/>
      <c r="K191" s="18"/>
      <c r="L191" s="18"/>
    </row>
    <row r="192" spans="1:12" ht="25.5" customHeight="1" x14ac:dyDescent="0.25">
      <c r="A192" s="54"/>
      <c r="B192" s="31">
        <v>4</v>
      </c>
      <c r="C192" s="99" t="s">
        <v>187</v>
      </c>
      <c r="D192" s="87"/>
      <c r="E192" s="87"/>
      <c r="F192" s="87"/>
      <c r="G192" s="100">
        <f>(D192+E192+F192)-1</f>
        <v>-1</v>
      </c>
      <c r="H192" s="18"/>
      <c r="I192" s="18"/>
      <c r="J192" s="18"/>
      <c r="K192" s="18"/>
      <c r="L192" s="18"/>
    </row>
    <row r="193" spans="1:12" ht="19.5" customHeight="1" x14ac:dyDescent="0.25">
      <c r="A193" s="54"/>
      <c r="B193" s="31"/>
      <c r="C193" s="564" t="s">
        <v>42</v>
      </c>
      <c r="D193" s="565"/>
      <c r="E193" s="565"/>
      <c r="F193" s="566"/>
      <c r="G193" s="124"/>
      <c r="H193" s="18"/>
      <c r="I193" s="18"/>
      <c r="J193" s="18"/>
      <c r="K193" s="18"/>
      <c r="L193" s="18"/>
    </row>
    <row r="194" spans="1:12" ht="19.5" customHeight="1" x14ac:dyDescent="0.25">
      <c r="A194" s="54"/>
      <c r="B194" s="31">
        <v>5</v>
      </c>
      <c r="C194" s="99" t="s">
        <v>188</v>
      </c>
      <c r="D194" s="87"/>
      <c r="E194" s="87"/>
      <c r="F194" s="87"/>
      <c r="G194" s="100">
        <f>(D194+E194+F194)-1</f>
        <v>-1</v>
      </c>
      <c r="H194" s="18"/>
      <c r="I194" s="18"/>
      <c r="J194" s="18"/>
      <c r="K194" s="18"/>
      <c r="L194" s="18"/>
    </row>
    <row r="195" spans="1:12" ht="19.5" customHeight="1" x14ac:dyDescent="0.25">
      <c r="A195" s="54"/>
      <c r="B195" s="31">
        <v>6</v>
      </c>
      <c r="C195" s="99" t="s">
        <v>189</v>
      </c>
      <c r="D195" s="87"/>
      <c r="E195" s="87"/>
      <c r="F195" s="87"/>
      <c r="G195" s="100">
        <f>(D195+E195+F195)-1</f>
        <v>-1</v>
      </c>
      <c r="H195" s="18"/>
      <c r="I195" s="18"/>
      <c r="J195" s="18"/>
      <c r="K195" s="18"/>
      <c r="L195" s="18"/>
    </row>
    <row r="196" spans="1:12" ht="19.5" customHeight="1" x14ac:dyDescent="0.25">
      <c r="A196" s="54"/>
      <c r="B196" s="31">
        <v>7</v>
      </c>
      <c r="C196" s="99" t="s">
        <v>190</v>
      </c>
      <c r="D196" s="87"/>
      <c r="E196" s="87"/>
      <c r="F196" s="87"/>
      <c r="G196" s="100">
        <f>(D196+E196+F196)-1</f>
        <v>-1</v>
      </c>
      <c r="H196" s="18"/>
      <c r="I196" s="18"/>
      <c r="J196" s="18"/>
      <c r="K196" s="18"/>
      <c r="L196" s="18"/>
    </row>
    <row r="197" spans="1:12" ht="19.5" customHeight="1" x14ac:dyDescent="0.25">
      <c r="A197" s="54"/>
      <c r="B197" s="31">
        <v>8</v>
      </c>
      <c r="C197" s="99" t="s">
        <v>191</v>
      </c>
      <c r="D197" s="87"/>
      <c r="E197" s="87"/>
      <c r="F197" s="87"/>
      <c r="G197" s="100">
        <f>(D197+E197+F197)-1</f>
        <v>-1</v>
      </c>
      <c r="H197" s="18"/>
      <c r="I197" s="18"/>
      <c r="J197" s="18"/>
      <c r="K197" s="18"/>
      <c r="L197" s="18"/>
    </row>
    <row r="198" spans="1:12" ht="23.25" customHeight="1" x14ac:dyDescent="0.25">
      <c r="A198" s="54"/>
      <c r="B198" s="31">
        <v>9</v>
      </c>
      <c r="C198" s="99" t="s">
        <v>192</v>
      </c>
      <c r="D198" s="87"/>
      <c r="E198" s="87"/>
      <c r="F198" s="87"/>
      <c r="G198" s="100">
        <f>(D198+E198+F198)-1</f>
        <v>-1</v>
      </c>
      <c r="H198" s="18"/>
      <c r="I198" s="18"/>
      <c r="J198" s="18"/>
      <c r="K198" s="18"/>
      <c r="L198" s="18"/>
    </row>
    <row r="199" spans="1:12" ht="19.5" customHeight="1" x14ac:dyDescent="0.25">
      <c r="A199" s="54"/>
      <c r="B199" s="31"/>
      <c r="C199" s="97" t="s">
        <v>177</v>
      </c>
      <c r="D199" s="90">
        <f>(D200*4)+(D201*8)+(D203*4)+(D204*4)+(D205*2)+(D206*8)+(D207*8)+(D208*4)</f>
        <v>0</v>
      </c>
      <c r="E199" s="90">
        <f>(E200+E201+E202+E203)*0</f>
        <v>0</v>
      </c>
      <c r="F199" s="90">
        <f>(F200*4)+(F201*8)+(F203*4)+(F204*4)+(F205*2)+(F206*8)+(F207*8)+(F208*4)</f>
        <v>0</v>
      </c>
      <c r="G199" s="98"/>
      <c r="H199" s="18"/>
      <c r="I199" s="18"/>
      <c r="J199" s="18"/>
      <c r="K199" s="18"/>
      <c r="L199" s="18"/>
    </row>
    <row r="200" spans="1:12" ht="19.5" customHeight="1" x14ac:dyDescent="0.25">
      <c r="A200" s="54"/>
      <c r="B200" s="31">
        <v>10</v>
      </c>
      <c r="C200" s="99" t="s">
        <v>181</v>
      </c>
      <c r="D200" s="87"/>
      <c r="E200" s="87"/>
      <c r="F200" s="87"/>
      <c r="G200" s="100">
        <f>(D200+E200+F200)-1</f>
        <v>-1</v>
      </c>
      <c r="H200" s="18"/>
      <c r="I200" s="18"/>
      <c r="J200" s="18"/>
      <c r="K200" s="18"/>
      <c r="L200" s="18"/>
    </row>
    <row r="201" spans="1:12" ht="19.5" customHeight="1" x14ac:dyDescent="0.25">
      <c r="A201" s="54"/>
      <c r="B201" s="31">
        <v>11</v>
      </c>
      <c r="C201" s="99" t="s">
        <v>182</v>
      </c>
      <c r="D201" s="87"/>
      <c r="E201" s="87"/>
      <c r="F201" s="87"/>
      <c r="G201" s="100">
        <f>(D201+E201+F201)-1</f>
        <v>-1</v>
      </c>
      <c r="H201" s="18"/>
      <c r="I201" s="18"/>
      <c r="J201" s="18"/>
      <c r="K201" s="18"/>
      <c r="L201" s="18"/>
    </row>
    <row r="202" spans="1:12" ht="37.5" customHeight="1" x14ac:dyDescent="0.25">
      <c r="A202" s="54"/>
      <c r="B202" s="31"/>
      <c r="C202" s="570" t="s">
        <v>43</v>
      </c>
      <c r="D202" s="571"/>
      <c r="E202" s="571"/>
      <c r="F202" s="571"/>
      <c r="G202" s="175"/>
      <c r="H202" s="18"/>
      <c r="I202" s="18"/>
      <c r="J202" s="18"/>
      <c r="K202" s="18"/>
      <c r="L202" s="18"/>
    </row>
    <row r="203" spans="1:12" ht="19.5" customHeight="1" x14ac:dyDescent="0.25">
      <c r="A203" s="54"/>
      <c r="B203" s="31">
        <v>12</v>
      </c>
      <c r="C203" s="99" t="s">
        <v>183</v>
      </c>
      <c r="D203" s="87"/>
      <c r="E203" s="87"/>
      <c r="F203" s="87"/>
      <c r="G203" s="100">
        <f t="shared" ref="G203:G208" si="3">(D203+E203+F203)-1</f>
        <v>-1</v>
      </c>
      <c r="H203" s="18"/>
      <c r="I203" s="18"/>
      <c r="J203" s="18"/>
      <c r="K203" s="18"/>
      <c r="L203" s="18"/>
    </row>
    <row r="204" spans="1:12" ht="19.5" customHeight="1" x14ac:dyDescent="0.25">
      <c r="A204" s="54"/>
      <c r="B204" s="31">
        <v>13</v>
      </c>
      <c r="C204" s="99" t="s">
        <v>184</v>
      </c>
      <c r="D204" s="87"/>
      <c r="E204" s="87"/>
      <c r="F204" s="87"/>
      <c r="G204" s="100">
        <f t="shared" si="3"/>
        <v>-1</v>
      </c>
      <c r="H204" s="18"/>
      <c r="I204" s="18"/>
      <c r="J204" s="18"/>
      <c r="K204" s="18"/>
      <c r="L204" s="18"/>
    </row>
    <row r="205" spans="1:12" ht="19.5" customHeight="1" x14ac:dyDescent="0.25">
      <c r="A205" s="54"/>
      <c r="B205" s="31">
        <v>14</v>
      </c>
      <c r="C205" s="99" t="s">
        <v>185</v>
      </c>
      <c r="D205" s="87"/>
      <c r="E205" s="87"/>
      <c r="F205" s="87"/>
      <c r="G205" s="100">
        <f t="shared" si="3"/>
        <v>-1</v>
      </c>
      <c r="H205" s="18"/>
      <c r="I205" s="18"/>
      <c r="J205" s="18"/>
      <c r="K205" s="18"/>
      <c r="L205" s="18"/>
    </row>
    <row r="206" spans="1:12" ht="23.25" customHeight="1" x14ac:dyDescent="0.25">
      <c r="A206" s="54"/>
      <c r="B206" s="31">
        <v>15</v>
      </c>
      <c r="C206" s="99" t="s">
        <v>44</v>
      </c>
      <c r="D206" s="87"/>
      <c r="E206" s="87"/>
      <c r="F206" s="87"/>
      <c r="G206" s="100">
        <f t="shared" si="3"/>
        <v>-1</v>
      </c>
      <c r="H206" s="18"/>
      <c r="I206" s="18"/>
      <c r="J206" s="18"/>
      <c r="K206" s="18"/>
      <c r="L206" s="18"/>
    </row>
    <row r="207" spans="1:12" ht="46.5" customHeight="1" x14ac:dyDescent="0.25">
      <c r="A207" s="54"/>
      <c r="B207" s="31">
        <v>16</v>
      </c>
      <c r="C207" s="177" t="s">
        <v>45</v>
      </c>
      <c r="D207" s="176"/>
      <c r="E207" s="176"/>
      <c r="F207" s="176"/>
      <c r="G207" s="175">
        <f t="shared" si="3"/>
        <v>-1</v>
      </c>
      <c r="H207" s="18"/>
      <c r="I207" s="18"/>
      <c r="J207" s="18"/>
      <c r="K207" s="18"/>
      <c r="L207" s="18"/>
    </row>
    <row r="208" spans="1:12" ht="19.5" customHeight="1" x14ac:dyDescent="0.25">
      <c r="A208" s="54"/>
      <c r="B208" s="31">
        <v>17</v>
      </c>
      <c r="C208" s="99" t="s">
        <v>46</v>
      </c>
      <c r="D208" s="87"/>
      <c r="E208" s="87"/>
      <c r="F208" s="87"/>
      <c r="G208" s="100">
        <f t="shared" si="3"/>
        <v>-1</v>
      </c>
      <c r="H208" s="18"/>
      <c r="I208" s="18"/>
      <c r="J208" s="18"/>
      <c r="K208" s="18"/>
      <c r="L208" s="18"/>
    </row>
    <row r="209" spans="1:12" ht="19.5" customHeight="1" x14ac:dyDescent="0.25">
      <c r="A209" s="54"/>
      <c r="B209" s="31"/>
      <c r="C209" s="97" t="s">
        <v>178</v>
      </c>
      <c r="D209" s="90">
        <f>(D210*8)+(D211*4)+(D212*4)</f>
        <v>0</v>
      </c>
      <c r="E209" s="90">
        <f>(E210+E211+E212)*0</f>
        <v>0</v>
      </c>
      <c r="F209" s="90">
        <f>(F210*8)+(F211*4)+(F212*4)</f>
        <v>0</v>
      </c>
      <c r="G209" s="98"/>
      <c r="H209" s="18"/>
      <c r="I209" s="18"/>
      <c r="J209" s="18"/>
      <c r="K209" s="18"/>
      <c r="L209" s="18"/>
    </row>
    <row r="210" spans="1:12" ht="19.5" customHeight="1" x14ac:dyDescent="0.25">
      <c r="A210" s="54"/>
      <c r="B210" s="31">
        <v>18</v>
      </c>
      <c r="C210" s="99" t="s">
        <v>179</v>
      </c>
      <c r="D210" s="87"/>
      <c r="E210" s="87"/>
      <c r="F210" s="87"/>
      <c r="G210" s="100">
        <f>(D210+E210+F210)-1</f>
        <v>-1</v>
      </c>
      <c r="H210" s="18"/>
      <c r="I210" s="18"/>
      <c r="J210" s="18"/>
      <c r="K210" s="18"/>
      <c r="L210" s="18"/>
    </row>
    <row r="211" spans="1:12" ht="19.5" customHeight="1" x14ac:dyDescent="0.25">
      <c r="A211" s="54"/>
      <c r="B211" s="31">
        <v>19</v>
      </c>
      <c r="C211" s="99" t="s">
        <v>180</v>
      </c>
      <c r="D211" s="87"/>
      <c r="E211" s="87"/>
      <c r="F211" s="87"/>
      <c r="G211" s="100">
        <f>(D211+E211+F211)-1</f>
        <v>-1</v>
      </c>
      <c r="H211" s="18"/>
      <c r="I211" s="18"/>
      <c r="J211" s="18"/>
      <c r="K211" s="18"/>
      <c r="L211" s="18"/>
    </row>
    <row r="212" spans="1:12" x14ac:dyDescent="0.25">
      <c r="A212" s="54"/>
      <c r="B212" s="31">
        <v>20</v>
      </c>
      <c r="C212" s="303" t="s">
        <v>354</v>
      </c>
      <c r="D212" s="87"/>
      <c r="E212" s="87"/>
      <c r="F212" s="87"/>
      <c r="G212" s="100">
        <f>(D212+E212+F212)-1</f>
        <v>-1</v>
      </c>
      <c r="H212" s="18"/>
      <c r="I212" s="18"/>
      <c r="J212" s="18"/>
      <c r="K212" s="18"/>
      <c r="L212" s="18"/>
    </row>
    <row r="213" spans="1:12" ht="15.75" customHeight="1" x14ac:dyDescent="0.25">
      <c r="A213" s="54"/>
      <c r="B213" s="29"/>
      <c r="C213" s="102" t="s">
        <v>262</v>
      </c>
      <c r="D213" s="92">
        <f>D209+D199+D190+D187</f>
        <v>0</v>
      </c>
      <c r="E213" s="92">
        <f>E209+E199+E190+E187</f>
        <v>0</v>
      </c>
      <c r="F213" s="92">
        <f>F209+F199+F190+F187</f>
        <v>0</v>
      </c>
      <c r="G213" s="92">
        <f>G212+G211+G210+G208+G207+G206+G205+G204+G203+G201+G200+G198+G197+G196+G195+G194+G192+G191+G189+G188</f>
        <v>-20</v>
      </c>
    </row>
    <row r="214" spans="1:12" ht="15.75" customHeight="1" x14ac:dyDescent="0.25">
      <c r="A214" s="54"/>
      <c r="B214" s="29"/>
      <c r="C214" s="103"/>
      <c r="D214" s="92" t="s">
        <v>23</v>
      </c>
      <c r="E214" s="92" t="s">
        <v>24</v>
      </c>
      <c r="F214" s="92" t="s">
        <v>10</v>
      </c>
      <c r="G214" s="126">
        <f>SUM(G188:G212)</f>
        <v>-20</v>
      </c>
    </row>
    <row r="215" spans="1:12" ht="15.75" hidden="1" customHeight="1" x14ac:dyDescent="0.25">
      <c r="B215" s="26"/>
      <c r="C215" s="104">
        <f>D213/(84-E213)</f>
        <v>0</v>
      </c>
      <c r="D215" s="94"/>
      <c r="E215" s="94"/>
      <c r="F215" s="94"/>
      <c r="G215" s="105"/>
    </row>
    <row r="216" spans="1:12" ht="15.75" customHeight="1" thickBot="1" x14ac:dyDescent="0.3">
      <c r="A216" s="26"/>
      <c r="B216" s="26"/>
      <c r="C216" s="125" t="s">
        <v>25</v>
      </c>
      <c r="D216" s="572">
        <f>G214</f>
        <v>-20</v>
      </c>
      <c r="E216" s="573"/>
      <c r="F216" s="573"/>
      <c r="G216" s="574"/>
    </row>
    <row r="217" spans="1:12" ht="15.75" hidden="1" thickBot="1" x14ac:dyDescent="0.3">
      <c r="A217" s="569">
        <f>84-F213</f>
        <v>84</v>
      </c>
      <c r="B217" s="569"/>
      <c r="C217" s="216">
        <f>D213/A217</f>
        <v>0</v>
      </c>
      <c r="D217" s="122">
        <f>C217*F217</f>
        <v>0</v>
      </c>
      <c r="E217" s="214">
        <f>((D217*100)/F217)</f>
        <v>0</v>
      </c>
      <c r="F217" s="218">
        <v>10</v>
      </c>
      <c r="G217" s="123"/>
    </row>
  </sheetData>
  <sheetProtection algorithmName="SHA-512" hashValue="amzVNWf8EaeN6Gy2jyrmm+jOHzuEHJIjmPGZkFIoEZfcztP9nQIqLr+jyaAZ8DV7F5zm+Km7lKcnW22IHiKUCQ==" saltValue="GvISYYDynjYOCqjgeN+ZWw==" spinCount="100000" sheet="1" objects="1" scenarios="1" selectLockedCells="1"/>
  <protectedRanges>
    <protectedRange sqref="A16" name="Intervalo1"/>
  </protectedRanges>
  <mergeCells count="79">
    <mergeCell ref="C1:F1"/>
    <mergeCell ref="D80:D81"/>
    <mergeCell ref="E80:E81"/>
    <mergeCell ref="F80:F81"/>
    <mergeCell ref="F44:F45"/>
    <mergeCell ref="F52:F53"/>
    <mergeCell ref="F54:F55"/>
    <mergeCell ref="F60:F61"/>
    <mergeCell ref="E54:E55"/>
    <mergeCell ref="C72:G72"/>
    <mergeCell ref="D52:D53"/>
    <mergeCell ref="D54:D55"/>
    <mergeCell ref="G60:G61"/>
    <mergeCell ref="D60:D61"/>
    <mergeCell ref="E60:E61"/>
    <mergeCell ref="G54:G55"/>
    <mergeCell ref="E52:E53"/>
    <mergeCell ref="G52:G53"/>
    <mergeCell ref="D69:F69"/>
    <mergeCell ref="F13:F14"/>
    <mergeCell ref="F16:F17"/>
    <mergeCell ref="F21:F22"/>
    <mergeCell ref="F23:F24"/>
    <mergeCell ref="F25:F27"/>
    <mergeCell ref="D13:D14"/>
    <mergeCell ref="E13:E14"/>
    <mergeCell ref="G13:G14"/>
    <mergeCell ref="G44:G45"/>
    <mergeCell ref="D44:D45"/>
    <mergeCell ref="E44:E45"/>
    <mergeCell ref="G23:G24"/>
    <mergeCell ref="G21:G22"/>
    <mergeCell ref="D16:D17"/>
    <mergeCell ref="C3:G3"/>
    <mergeCell ref="D8:D9"/>
    <mergeCell ref="E8:E9"/>
    <mergeCell ref="G8:G9"/>
    <mergeCell ref="F8:F9"/>
    <mergeCell ref="E16:E17"/>
    <mergeCell ref="G16:G17"/>
    <mergeCell ref="D21:D22"/>
    <mergeCell ref="E21:E22"/>
    <mergeCell ref="D23:D24"/>
    <mergeCell ref="D39:D40"/>
    <mergeCell ref="D25:D27"/>
    <mergeCell ref="E25:E27"/>
    <mergeCell ref="G25:G27"/>
    <mergeCell ref="E23:E24"/>
    <mergeCell ref="E39:E40"/>
    <mergeCell ref="F39:F40"/>
    <mergeCell ref="G39:G40"/>
    <mergeCell ref="A217:B217"/>
    <mergeCell ref="A70:B70"/>
    <mergeCell ref="A89:B89"/>
    <mergeCell ref="A109:B109"/>
    <mergeCell ref="D121:F121"/>
    <mergeCell ref="D108:F108"/>
    <mergeCell ref="D88:F88"/>
    <mergeCell ref="C98:G98"/>
    <mergeCell ref="C111:G111"/>
    <mergeCell ref="C100:G100"/>
    <mergeCell ref="C91:G91"/>
    <mergeCell ref="C95:G95"/>
    <mergeCell ref="G80:G81"/>
    <mergeCell ref="C185:G185"/>
    <mergeCell ref="D216:G216"/>
    <mergeCell ref="C124:G124"/>
    <mergeCell ref="C193:F193"/>
    <mergeCell ref="A122:B122"/>
    <mergeCell ref="A183:B183"/>
    <mergeCell ref="C202:F202"/>
    <mergeCell ref="D182:G182"/>
    <mergeCell ref="D127:D128"/>
    <mergeCell ref="E127:E128"/>
    <mergeCell ref="F127:F128"/>
    <mergeCell ref="G127:G128"/>
    <mergeCell ref="C150:F150"/>
    <mergeCell ref="C156:F156"/>
    <mergeCell ref="C161:F161"/>
  </mergeCells>
  <hyperlinks>
    <hyperlink ref="A14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</hyperlinks>
  <pageMargins left="0.39370078740157483" right="0.39370078740157483" top="0.39370078740157483" bottom="0.39370078740157483" header="0" footer="0"/>
  <pageSetup paperSize="9" orientation="landscape" r:id="rId1"/>
  <ignoredErrors>
    <ignoredError sqref="E15 E18 E28 E38 E58 E93 E11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113"/>
  <sheetViews>
    <sheetView showGridLines="0" view="pageBreakPreview" topLeftCell="A6" zoomScale="90" zoomScaleNormal="80" zoomScaleSheetLayoutView="90" workbookViewId="0">
      <selection activeCell="A14" sqref="A14"/>
    </sheetView>
  </sheetViews>
  <sheetFormatPr defaultColWidth="14.42578125" defaultRowHeight="15" customHeight="1" x14ac:dyDescent="0.25"/>
  <cols>
    <col min="1" max="1" width="35.85546875" style="8" bestFit="1" customWidth="1"/>
    <col min="2" max="2" width="2.28515625" style="1" customWidth="1"/>
    <col min="3" max="3" width="2.85546875" style="193" bestFit="1" customWidth="1"/>
    <col min="4" max="4" width="18" style="34" customWidth="1"/>
    <col min="5" max="5" width="20.7109375" style="201" customWidth="1"/>
    <col min="6" max="6" width="33.28515625" style="201" customWidth="1"/>
    <col min="7" max="11" width="3.85546875" style="45" customWidth="1"/>
    <col min="12" max="13" width="12" style="45" hidden="1" customWidth="1"/>
    <col min="14" max="16384" width="14.42578125" style="1"/>
  </cols>
  <sheetData>
    <row r="1" spans="1:13" ht="54.75" customHeight="1" thickBot="1" x14ac:dyDescent="0.4">
      <c r="A1" s="66"/>
      <c r="B1" s="3"/>
      <c r="C1" s="561" t="s">
        <v>350</v>
      </c>
      <c r="D1" s="624"/>
      <c r="E1" s="624"/>
      <c r="F1" s="624"/>
      <c r="G1" s="624"/>
      <c r="H1" s="624"/>
      <c r="I1" s="624"/>
      <c r="J1" s="624"/>
      <c r="K1" s="624"/>
      <c r="L1" s="44"/>
      <c r="M1" s="44"/>
    </row>
    <row r="2" spans="1:13" ht="19.5" customHeight="1" thickBot="1" x14ac:dyDescent="0.35">
      <c r="A2" s="427" t="s">
        <v>338</v>
      </c>
      <c r="B2" s="11"/>
      <c r="C2" s="640" t="s">
        <v>367</v>
      </c>
      <c r="D2" s="641"/>
      <c r="E2" s="641"/>
      <c r="F2" s="641"/>
      <c r="G2" s="641"/>
      <c r="H2" s="641"/>
      <c r="I2" s="641"/>
      <c r="J2" s="641"/>
      <c r="K2" s="642"/>
      <c r="L2" s="194"/>
      <c r="M2" s="194"/>
    </row>
    <row r="3" spans="1:13" ht="24.95" customHeight="1" thickBot="1" x14ac:dyDescent="0.35">
      <c r="A3" s="48" t="s">
        <v>407</v>
      </c>
      <c r="B3" s="13"/>
      <c r="C3" s="637" t="s">
        <v>364</v>
      </c>
      <c r="D3" s="638"/>
      <c r="E3" s="638"/>
      <c r="F3" s="639"/>
      <c r="G3" s="312"/>
      <c r="H3" s="313"/>
      <c r="I3" s="313"/>
      <c r="J3" s="313"/>
      <c r="K3" s="314"/>
      <c r="L3" s="227" t="s">
        <v>196</v>
      </c>
      <c r="M3" s="195" t="s">
        <v>0</v>
      </c>
    </row>
    <row r="4" spans="1:13" ht="19.5" thickBot="1" x14ac:dyDescent="0.35">
      <c r="A4" s="35"/>
      <c r="B4" s="13"/>
      <c r="C4" s="631" t="s">
        <v>365</v>
      </c>
      <c r="D4" s="632"/>
      <c r="E4" s="632"/>
      <c r="F4" s="633"/>
      <c r="G4" s="228"/>
      <c r="H4" s="229"/>
      <c r="I4" s="229"/>
      <c r="J4" s="229"/>
      <c r="K4" s="230"/>
      <c r="L4" s="227">
        <f>SUM(G4:K4)</f>
        <v>0</v>
      </c>
      <c r="M4" s="195">
        <v>100</v>
      </c>
    </row>
    <row r="5" spans="1:13" ht="28.5" customHeight="1" thickBot="1" x14ac:dyDescent="0.35">
      <c r="A5" s="427" t="s">
        <v>339</v>
      </c>
      <c r="B5" s="14"/>
      <c r="C5" s="643" t="s">
        <v>392</v>
      </c>
      <c r="D5" s="644"/>
      <c r="E5" s="644"/>
      <c r="F5" s="645"/>
      <c r="G5" s="646" t="s">
        <v>366</v>
      </c>
      <c r="H5" s="647"/>
      <c r="I5" s="647"/>
      <c r="J5" s="647"/>
      <c r="K5" s="648"/>
      <c r="L5" s="231"/>
      <c r="M5" s="231"/>
    </row>
    <row r="6" spans="1:13" ht="34.5" thickBot="1" x14ac:dyDescent="0.35">
      <c r="A6" s="48" t="s">
        <v>431</v>
      </c>
      <c r="B6" s="14"/>
      <c r="C6" s="221">
        <v>1</v>
      </c>
      <c r="D6" s="222" t="s">
        <v>276</v>
      </c>
      <c r="E6" s="223" t="s">
        <v>287</v>
      </c>
      <c r="F6" s="223" t="s">
        <v>290</v>
      </c>
      <c r="G6" s="224"/>
      <c r="H6" s="224"/>
      <c r="I6" s="224"/>
      <c r="J6" s="224"/>
      <c r="K6" s="482"/>
      <c r="L6" s="220">
        <f>SUM(G6:K6)</f>
        <v>0</v>
      </c>
      <c r="M6" s="196" t="e">
        <f>(L6*100)/L4</f>
        <v>#DIV/0!</v>
      </c>
    </row>
    <row r="7" spans="1:13" ht="23.25" customHeight="1" thickBot="1" x14ac:dyDescent="0.35">
      <c r="A7" s="35"/>
      <c r="B7" s="15"/>
      <c r="C7" s="190">
        <v>2</v>
      </c>
      <c r="D7" s="185" t="s">
        <v>277</v>
      </c>
      <c r="E7" s="197" t="s">
        <v>284</v>
      </c>
      <c r="F7" s="197" t="s">
        <v>283</v>
      </c>
      <c r="G7" s="51"/>
      <c r="H7" s="51"/>
      <c r="I7" s="51"/>
      <c r="J7" s="51"/>
      <c r="K7" s="225"/>
      <c r="L7" s="220">
        <f t="shared" ref="L7:L18" si="0">SUM(G7:K7)</f>
        <v>0</v>
      </c>
      <c r="M7" s="196" t="e">
        <f>(L7*100)/L4</f>
        <v>#DIV/0!</v>
      </c>
    </row>
    <row r="8" spans="1:13" ht="18.75" x14ac:dyDescent="0.3">
      <c r="A8" s="427" t="s">
        <v>340</v>
      </c>
      <c r="B8" s="15"/>
      <c r="C8" s="609">
        <v>3</v>
      </c>
      <c r="D8" s="618" t="s">
        <v>278</v>
      </c>
      <c r="E8" s="621" t="s">
        <v>286</v>
      </c>
      <c r="F8" s="621" t="s">
        <v>285</v>
      </c>
      <c r="G8" s="612"/>
      <c r="H8" s="612"/>
      <c r="I8" s="612"/>
      <c r="J8" s="612"/>
      <c r="K8" s="615"/>
      <c r="L8" s="606">
        <f>G8+H8+I8+J8+K8</f>
        <v>0</v>
      </c>
      <c r="M8" s="196"/>
    </row>
    <row r="9" spans="1:13" ht="23.25" customHeight="1" thickBot="1" x14ac:dyDescent="0.35">
      <c r="A9" s="48" t="s">
        <v>54</v>
      </c>
      <c r="B9" s="15"/>
      <c r="C9" s="610"/>
      <c r="D9" s="619"/>
      <c r="E9" s="622"/>
      <c r="F9" s="622"/>
      <c r="G9" s="613"/>
      <c r="H9" s="613"/>
      <c r="I9" s="613"/>
      <c r="J9" s="613"/>
      <c r="K9" s="616"/>
      <c r="L9" s="607"/>
      <c r="M9" s="196"/>
    </row>
    <row r="10" spans="1:13" ht="60.75" customHeight="1" thickBot="1" x14ac:dyDescent="0.35">
      <c r="A10" s="35"/>
      <c r="B10" s="14"/>
      <c r="C10" s="611"/>
      <c r="D10" s="620"/>
      <c r="E10" s="623"/>
      <c r="F10" s="623"/>
      <c r="G10" s="614"/>
      <c r="H10" s="614"/>
      <c r="I10" s="614"/>
      <c r="J10" s="614"/>
      <c r="K10" s="617"/>
      <c r="L10" s="608"/>
      <c r="M10" s="196" t="e">
        <f>(L8*100)/L4</f>
        <v>#DIV/0!</v>
      </c>
    </row>
    <row r="11" spans="1:13" ht="21" customHeight="1" x14ac:dyDescent="0.3">
      <c r="A11" s="427" t="s">
        <v>341</v>
      </c>
      <c r="B11" s="14"/>
      <c r="C11" s="609">
        <v>4</v>
      </c>
      <c r="D11" s="618" t="s">
        <v>357</v>
      </c>
      <c r="E11" s="621" t="s">
        <v>358</v>
      </c>
      <c r="F11" s="621" t="s">
        <v>359</v>
      </c>
      <c r="G11" s="612"/>
      <c r="H11" s="612"/>
      <c r="I11" s="612"/>
      <c r="J11" s="612"/>
      <c r="K11" s="615"/>
      <c r="L11" s="606">
        <f>G11+H11+I11+J11+K11</f>
        <v>0</v>
      </c>
      <c r="M11" s="196"/>
    </row>
    <row r="12" spans="1:13" ht="19.5" thickBot="1" x14ac:dyDescent="0.35">
      <c r="A12" s="48" t="s">
        <v>53</v>
      </c>
      <c r="B12" s="14"/>
      <c r="C12" s="610"/>
      <c r="D12" s="619"/>
      <c r="E12" s="622"/>
      <c r="F12" s="622"/>
      <c r="G12" s="613"/>
      <c r="H12" s="613"/>
      <c r="I12" s="613"/>
      <c r="J12" s="613"/>
      <c r="K12" s="616"/>
      <c r="L12" s="607"/>
      <c r="M12" s="196"/>
    </row>
    <row r="13" spans="1:13" ht="33" customHeight="1" thickBot="1" x14ac:dyDescent="0.3">
      <c r="A13" s="36"/>
      <c r="B13" s="14"/>
      <c r="C13" s="611"/>
      <c r="D13" s="620"/>
      <c r="E13" s="623"/>
      <c r="F13" s="623"/>
      <c r="G13" s="614"/>
      <c r="H13" s="614"/>
      <c r="I13" s="614"/>
      <c r="J13" s="614"/>
      <c r="K13" s="617"/>
      <c r="L13" s="608"/>
      <c r="M13" s="196" t="e">
        <f>(L11*100)/L4</f>
        <v>#DIV/0!</v>
      </c>
    </row>
    <row r="14" spans="1:13" ht="39" thickBot="1" x14ac:dyDescent="0.45">
      <c r="A14" s="47" t="s">
        <v>51</v>
      </c>
      <c r="B14" s="14"/>
      <c r="C14" s="189" t="s">
        <v>327</v>
      </c>
      <c r="D14" s="185" t="s">
        <v>360</v>
      </c>
      <c r="E14" s="197" t="s">
        <v>361</v>
      </c>
      <c r="F14" s="197" t="s">
        <v>362</v>
      </c>
      <c r="G14" s="51"/>
      <c r="H14" s="51"/>
      <c r="I14" s="51"/>
      <c r="J14" s="51"/>
      <c r="K14" s="225"/>
      <c r="L14" s="220">
        <f t="shared" si="0"/>
        <v>0</v>
      </c>
      <c r="M14" s="196" t="e">
        <f>(L14*100)/L4</f>
        <v>#DIV/0!</v>
      </c>
    </row>
    <row r="15" spans="1:13" ht="23.25" thickBot="1" x14ac:dyDescent="0.3">
      <c r="A15" s="36"/>
      <c r="B15" s="14"/>
      <c r="C15" s="189">
        <v>5</v>
      </c>
      <c r="D15" s="185" t="s">
        <v>279</v>
      </c>
      <c r="E15" s="197" t="s">
        <v>284</v>
      </c>
      <c r="F15" s="197" t="s">
        <v>291</v>
      </c>
      <c r="G15" s="51"/>
      <c r="H15" s="51"/>
      <c r="I15" s="51"/>
      <c r="J15" s="51"/>
      <c r="K15" s="225"/>
      <c r="L15" s="220">
        <f t="shared" si="0"/>
        <v>0</v>
      </c>
      <c r="M15" s="196" t="e">
        <f>(L15*100)/L4</f>
        <v>#DIV/0!</v>
      </c>
    </row>
    <row r="16" spans="1:13" ht="48" customHeight="1" thickBot="1" x14ac:dyDescent="0.3">
      <c r="A16" s="301" t="str">
        <f>'Pág Inicial'!A16</f>
        <v>ESCOLA MODELO</v>
      </c>
      <c r="B16" s="14"/>
      <c r="C16" s="189">
        <v>6</v>
      </c>
      <c r="D16" s="185" t="s">
        <v>280</v>
      </c>
      <c r="E16" s="197" t="s">
        <v>288</v>
      </c>
      <c r="F16" s="197" t="s">
        <v>292</v>
      </c>
      <c r="G16" s="51"/>
      <c r="H16" s="51"/>
      <c r="I16" s="51"/>
      <c r="J16" s="51"/>
      <c r="K16" s="225"/>
      <c r="L16" s="220">
        <f t="shared" si="0"/>
        <v>0</v>
      </c>
      <c r="M16" s="196" t="e">
        <f>(L16*100)/L4</f>
        <v>#DIV/0!</v>
      </c>
    </row>
    <row r="17" spans="1:13" ht="15.75" x14ac:dyDescent="0.25">
      <c r="A17" s="36"/>
      <c r="B17" s="14"/>
      <c r="C17" s="189">
        <v>7</v>
      </c>
      <c r="D17" s="185" t="s">
        <v>281</v>
      </c>
      <c r="E17" s="197" t="s">
        <v>284</v>
      </c>
      <c r="F17" s="197" t="s">
        <v>293</v>
      </c>
      <c r="G17" s="51"/>
      <c r="H17" s="51"/>
      <c r="I17" s="51"/>
      <c r="J17" s="51"/>
      <c r="K17" s="225"/>
      <c r="L17" s="220">
        <f t="shared" si="0"/>
        <v>0</v>
      </c>
      <c r="M17" s="196" t="e">
        <f>(L17*100)/L4</f>
        <v>#DIV/0!</v>
      </c>
    </row>
    <row r="18" spans="1:13" ht="38.25" customHeight="1" thickBot="1" x14ac:dyDescent="0.3">
      <c r="A18" s="36"/>
      <c r="B18" s="14"/>
      <c r="C18" s="191">
        <v>8</v>
      </c>
      <c r="D18" s="187" t="s">
        <v>282</v>
      </c>
      <c r="E18" s="198" t="s">
        <v>289</v>
      </c>
      <c r="F18" s="198" t="s">
        <v>294</v>
      </c>
      <c r="G18" s="188"/>
      <c r="H18" s="188"/>
      <c r="I18" s="188"/>
      <c r="J18" s="188"/>
      <c r="K18" s="226"/>
      <c r="L18" s="220">
        <f t="shared" si="0"/>
        <v>0</v>
      </c>
      <c r="M18" s="196" t="e">
        <f>(L18*100)/L4</f>
        <v>#DIV/0!</v>
      </c>
    </row>
    <row r="19" spans="1:13" s="209" customFormat="1" ht="16.5" hidden="1" thickBot="1" x14ac:dyDescent="0.3">
      <c r="A19" s="36"/>
      <c r="B19" s="208"/>
      <c r="C19" s="202"/>
      <c r="D19" s="203"/>
      <c r="E19" s="204"/>
      <c r="F19" s="204"/>
      <c r="G19" s="205"/>
      <c r="H19" s="205"/>
      <c r="I19" s="205"/>
      <c r="J19" s="205"/>
      <c r="K19" s="205"/>
      <c r="L19" s="206">
        <f>SUM(L6+L7+L8+L11+L14+L15+L16+L17+L18)/9</f>
        <v>0</v>
      </c>
      <c r="M19" s="207" t="e">
        <f>SUM(M6:M18)/9</f>
        <v>#DIV/0!</v>
      </c>
    </row>
    <row r="20" spans="1:13" ht="16.5" thickBot="1" x14ac:dyDescent="0.3">
      <c r="A20" s="36"/>
      <c r="B20" s="14"/>
      <c r="C20" s="634" t="s">
        <v>301</v>
      </c>
      <c r="D20" s="635"/>
      <c r="E20" s="635"/>
      <c r="F20" s="636"/>
      <c r="G20" s="235">
        <f>G4</f>
        <v>0</v>
      </c>
      <c r="H20" s="236">
        <f>H4</f>
        <v>0</v>
      </c>
      <c r="I20" s="236">
        <f>I4</f>
        <v>0</v>
      </c>
      <c r="J20" s="236">
        <f>J4</f>
        <v>0</v>
      </c>
      <c r="K20" s="237">
        <f>K4</f>
        <v>0</v>
      </c>
      <c r="L20" s="227">
        <f>SUM(G20:K20)</f>
        <v>0</v>
      </c>
      <c r="M20" s="195">
        <v>100</v>
      </c>
    </row>
    <row r="21" spans="1:13" ht="55.5" customHeight="1" x14ac:dyDescent="0.25">
      <c r="A21" s="36"/>
      <c r="B21" s="14"/>
      <c r="C21" s="232" t="s">
        <v>2</v>
      </c>
      <c r="D21" s="233" t="s">
        <v>302</v>
      </c>
      <c r="E21" s="234" t="s">
        <v>284</v>
      </c>
      <c r="F21" s="234" t="s">
        <v>315</v>
      </c>
      <c r="G21" s="479"/>
      <c r="H21" s="479"/>
      <c r="I21" s="479"/>
      <c r="J21" s="479"/>
      <c r="K21" s="480"/>
      <c r="L21" s="220">
        <f>SUM(G21:K21)</f>
        <v>0</v>
      </c>
      <c r="M21" s="196" t="e">
        <f>(L21*100)/L20</f>
        <v>#DIV/0!</v>
      </c>
    </row>
    <row r="22" spans="1:13" ht="71.25" customHeight="1" x14ac:dyDescent="0.3">
      <c r="A22" s="39"/>
      <c r="B22" s="14"/>
      <c r="C22" s="189" t="s">
        <v>3</v>
      </c>
      <c r="D22" s="185" t="s">
        <v>303</v>
      </c>
      <c r="E22" s="197" t="s">
        <v>311</v>
      </c>
      <c r="F22" s="197" t="s">
        <v>316</v>
      </c>
      <c r="G22" s="51"/>
      <c r="H22" s="51"/>
      <c r="I22" s="51"/>
      <c r="J22" s="51"/>
      <c r="K22" s="225"/>
      <c r="L22" s="220">
        <f t="shared" ref="L22:L27" si="1">SUM(G22:K22)</f>
        <v>0</v>
      </c>
      <c r="M22" s="196" t="e">
        <f>(L22*100)/L20</f>
        <v>#DIV/0!</v>
      </c>
    </row>
    <row r="23" spans="1:13" ht="77.25" customHeight="1" x14ac:dyDescent="0.3">
      <c r="A23" s="39"/>
      <c r="B23" s="15"/>
      <c r="C23" s="189" t="s">
        <v>4</v>
      </c>
      <c r="D23" s="185" t="s">
        <v>304</v>
      </c>
      <c r="E23" s="197" t="s">
        <v>284</v>
      </c>
      <c r="F23" s="197" t="s">
        <v>317</v>
      </c>
      <c r="G23" s="51"/>
      <c r="H23" s="51"/>
      <c r="I23" s="51"/>
      <c r="J23" s="51"/>
      <c r="K23" s="225"/>
      <c r="L23" s="220">
        <f t="shared" si="1"/>
        <v>0</v>
      </c>
      <c r="M23" s="196" t="e">
        <f>(L23*100)/L20</f>
        <v>#DIV/0!</v>
      </c>
    </row>
    <row r="24" spans="1:13" ht="25.5" x14ac:dyDescent="0.3">
      <c r="A24" s="39"/>
      <c r="B24" s="15"/>
      <c r="C24" s="189" t="s">
        <v>295</v>
      </c>
      <c r="D24" s="185" t="s">
        <v>305</v>
      </c>
      <c r="E24" s="197" t="s">
        <v>284</v>
      </c>
      <c r="F24" s="197" t="s">
        <v>318</v>
      </c>
      <c r="G24" s="51"/>
      <c r="H24" s="51"/>
      <c r="I24" s="51"/>
      <c r="J24" s="51"/>
      <c r="K24" s="225"/>
      <c r="L24" s="220">
        <f t="shared" si="1"/>
        <v>0</v>
      </c>
      <c r="M24" s="196" t="e">
        <f>(L24*100)/L20</f>
        <v>#DIV/0!</v>
      </c>
    </row>
    <row r="25" spans="1:13" ht="88.5" customHeight="1" x14ac:dyDescent="0.3">
      <c r="A25" s="39"/>
      <c r="B25" s="14"/>
      <c r="C25" s="189" t="s">
        <v>5</v>
      </c>
      <c r="D25" s="185" t="s">
        <v>306</v>
      </c>
      <c r="E25" s="197" t="s">
        <v>323</v>
      </c>
      <c r="F25" s="197" t="s">
        <v>324</v>
      </c>
      <c r="G25" s="51"/>
      <c r="H25" s="51"/>
      <c r="I25" s="51"/>
      <c r="J25" s="51"/>
      <c r="K25" s="225"/>
      <c r="L25" s="220">
        <f t="shared" si="1"/>
        <v>0</v>
      </c>
      <c r="M25" s="196" t="e">
        <f>(L25*100)/L20</f>
        <v>#DIV/0!</v>
      </c>
    </row>
    <row r="26" spans="1:13" ht="33.75" x14ac:dyDescent="0.3">
      <c r="A26" s="39"/>
      <c r="B26" s="13"/>
      <c r="C26" s="189" t="s">
        <v>296</v>
      </c>
      <c r="D26" s="185" t="s">
        <v>307</v>
      </c>
      <c r="E26" s="197" t="s">
        <v>312</v>
      </c>
      <c r="F26" s="197" t="s">
        <v>319</v>
      </c>
      <c r="G26" s="51"/>
      <c r="H26" s="51"/>
      <c r="I26" s="51"/>
      <c r="J26" s="51"/>
      <c r="K26" s="225"/>
      <c r="L26" s="220">
        <f t="shared" si="1"/>
        <v>0</v>
      </c>
      <c r="M26" s="196" t="e">
        <f>(L26*100)/L20</f>
        <v>#DIV/0!</v>
      </c>
    </row>
    <row r="27" spans="1:13" ht="90" customHeight="1" x14ac:dyDescent="0.3">
      <c r="A27" s="39"/>
      <c r="B27" s="13"/>
      <c r="C27" s="189" t="s">
        <v>297</v>
      </c>
      <c r="D27" s="185" t="s">
        <v>308</v>
      </c>
      <c r="E27" s="197" t="s">
        <v>413</v>
      </c>
      <c r="F27" s="197" t="s">
        <v>412</v>
      </c>
      <c r="G27" s="51"/>
      <c r="H27" s="51"/>
      <c r="I27" s="51"/>
      <c r="J27" s="51"/>
      <c r="K27" s="225"/>
      <c r="L27" s="220">
        <f t="shared" si="1"/>
        <v>0</v>
      </c>
      <c r="M27" s="196" t="e">
        <f>(L27*100)/L20</f>
        <v>#DIV/0!</v>
      </c>
    </row>
    <row r="28" spans="1:13" ht="34.5" thickBot="1" x14ac:dyDescent="0.35">
      <c r="A28" s="39"/>
      <c r="B28" s="13"/>
      <c r="C28" s="189" t="s">
        <v>298</v>
      </c>
      <c r="D28" s="187" t="s">
        <v>309</v>
      </c>
      <c r="E28" s="198" t="s">
        <v>313</v>
      </c>
      <c r="F28" s="198" t="s">
        <v>326</v>
      </c>
      <c r="G28" s="478"/>
      <c r="H28" s="51"/>
      <c r="I28" s="51"/>
      <c r="J28" s="51"/>
      <c r="K28" s="225"/>
      <c r="L28" s="220"/>
      <c r="M28" s="196"/>
    </row>
    <row r="29" spans="1:13" ht="39" thickBot="1" x14ac:dyDescent="0.35">
      <c r="A29" s="39"/>
      <c r="B29" s="13"/>
      <c r="C29" s="189" t="s">
        <v>299</v>
      </c>
      <c r="D29" s="185" t="s">
        <v>321</v>
      </c>
      <c r="E29" s="197" t="s">
        <v>284</v>
      </c>
      <c r="F29" s="197" t="s">
        <v>320</v>
      </c>
      <c r="G29" s="188"/>
      <c r="H29" s="188"/>
      <c r="I29" s="188"/>
      <c r="J29" s="188"/>
      <c r="K29" s="226"/>
      <c r="L29" s="220">
        <f>SUM(G29:K29)</f>
        <v>0</v>
      </c>
      <c r="M29" s="196" t="e">
        <f>(L29*100)/L20</f>
        <v>#DIV/0!</v>
      </c>
    </row>
    <row r="30" spans="1:13" ht="189" customHeight="1" thickBot="1" x14ac:dyDescent="0.35">
      <c r="A30" s="39"/>
      <c r="B30" s="13"/>
      <c r="C30" s="191" t="s">
        <v>300</v>
      </c>
      <c r="D30" s="187" t="s">
        <v>310</v>
      </c>
      <c r="E30" s="198" t="s">
        <v>314</v>
      </c>
      <c r="F30" s="198" t="s">
        <v>322</v>
      </c>
      <c r="G30" s="51"/>
      <c r="H30" s="51"/>
      <c r="I30" s="51"/>
      <c r="J30" s="51"/>
      <c r="K30" s="225"/>
      <c r="L30" s="220">
        <f>SUM(G30:K30)</f>
        <v>0</v>
      </c>
      <c r="M30" s="196" t="e">
        <f>(L30*100)/L20</f>
        <v>#DIV/0!</v>
      </c>
    </row>
    <row r="31" spans="1:13" s="209" customFormat="1" ht="19.5" hidden="1" thickBot="1" x14ac:dyDescent="0.35">
      <c r="A31" s="39"/>
      <c r="B31" s="211"/>
      <c r="C31" s="210"/>
      <c r="D31" s="203"/>
      <c r="E31" s="204"/>
      <c r="F31" s="204"/>
      <c r="G31" s="188"/>
      <c r="H31" s="188"/>
      <c r="I31" s="188"/>
      <c r="J31" s="188"/>
      <c r="K31" s="226"/>
      <c r="L31" s="206">
        <f>SUM(L21+L22+L23+L24+L25+L26+L27+L28+L29+L30)/10</f>
        <v>0</v>
      </c>
      <c r="M31" s="206" t="e">
        <f>SUM(M21+M22+M23+M24+M25+M26+M27+M28+M29+M30)/10</f>
        <v>#DIV/0!</v>
      </c>
    </row>
    <row r="32" spans="1:13" ht="19.5" thickBot="1" x14ac:dyDescent="0.35">
      <c r="A32" s="39"/>
      <c r="B32" s="15"/>
      <c r="C32" s="15"/>
      <c r="D32" s="15"/>
      <c r="E32" s="200"/>
      <c r="F32" s="200"/>
      <c r="G32" s="15"/>
      <c r="H32" s="15"/>
      <c r="I32" s="15"/>
      <c r="J32" s="15"/>
      <c r="K32" s="15"/>
      <c r="L32" s="15"/>
      <c r="M32" s="15"/>
    </row>
    <row r="33" spans="1:13" s="49" customFormat="1" ht="16.5" customHeight="1" x14ac:dyDescent="0.2">
      <c r="A33" s="628" t="s">
        <v>224</v>
      </c>
      <c r="B33" s="629"/>
      <c r="C33" s="629"/>
      <c r="D33" s="629"/>
      <c r="E33" s="629"/>
      <c r="F33" s="629"/>
      <c r="G33" s="629"/>
      <c r="H33" s="629"/>
      <c r="I33" s="629"/>
      <c r="J33" s="629"/>
      <c r="K33" s="629"/>
      <c r="L33" s="629"/>
      <c r="M33" s="630"/>
    </row>
    <row r="34" spans="1:13" s="50" customFormat="1" ht="18.75" customHeight="1" thickBot="1" x14ac:dyDescent="0.3">
      <c r="A34" s="625" t="s">
        <v>325</v>
      </c>
      <c r="B34" s="626"/>
      <c r="C34" s="626"/>
      <c r="D34" s="626"/>
      <c r="E34" s="626"/>
      <c r="F34" s="626"/>
      <c r="G34" s="626"/>
      <c r="H34" s="626"/>
      <c r="I34" s="626"/>
      <c r="J34" s="626"/>
      <c r="K34" s="626"/>
      <c r="L34" s="626"/>
      <c r="M34" s="627"/>
    </row>
    <row r="35" spans="1:13" ht="24.95" customHeight="1" x14ac:dyDescent="0.25">
      <c r="C35" s="192"/>
      <c r="D35" s="186"/>
      <c r="E35" s="199"/>
      <c r="F35" s="199"/>
      <c r="G35" s="24"/>
      <c r="H35" s="24"/>
      <c r="I35" s="24"/>
      <c r="J35" s="24"/>
      <c r="K35" s="24"/>
      <c r="L35" s="24"/>
      <c r="M35" s="24"/>
    </row>
    <row r="36" spans="1:13" ht="24.95" customHeight="1" x14ac:dyDescent="0.25">
      <c r="C36" s="192"/>
      <c r="D36" s="186"/>
      <c r="E36" s="199"/>
      <c r="F36" s="199"/>
      <c r="G36" s="24"/>
      <c r="H36" s="24"/>
      <c r="I36" s="24"/>
      <c r="J36" s="24"/>
      <c r="K36" s="24"/>
      <c r="L36" s="24"/>
      <c r="M36" s="24"/>
    </row>
    <row r="37" spans="1:13" ht="24.95" customHeight="1" x14ac:dyDescent="0.25">
      <c r="C37" s="192"/>
      <c r="D37" s="186"/>
      <c r="E37" s="199"/>
      <c r="F37" s="199"/>
      <c r="G37" s="24"/>
      <c r="H37" s="24"/>
      <c r="I37" s="24"/>
      <c r="J37" s="24"/>
      <c r="K37" s="24"/>
      <c r="L37" s="24"/>
      <c r="M37" s="24"/>
    </row>
    <row r="38" spans="1:13" ht="24.95" customHeight="1" x14ac:dyDescent="0.25">
      <c r="C38" s="192"/>
      <c r="D38" s="186"/>
      <c r="E38" s="199"/>
      <c r="F38" s="199"/>
      <c r="G38" s="24"/>
      <c r="H38" s="24"/>
      <c r="I38" s="24"/>
      <c r="J38" s="24"/>
      <c r="K38" s="24"/>
      <c r="L38" s="24"/>
      <c r="M38" s="24"/>
    </row>
    <row r="39" spans="1:13" ht="24.95" customHeight="1" x14ac:dyDescent="0.25">
      <c r="C39" s="192"/>
      <c r="D39" s="186"/>
      <c r="E39" s="199"/>
      <c r="F39" s="199"/>
      <c r="G39" s="24"/>
      <c r="H39" s="24"/>
      <c r="I39" s="24"/>
      <c r="J39" s="24"/>
      <c r="K39" s="24"/>
      <c r="L39" s="24"/>
      <c r="M39" s="24"/>
    </row>
    <row r="40" spans="1:13" ht="24.95" customHeight="1" x14ac:dyDescent="0.25">
      <c r="C40" s="192"/>
      <c r="D40" s="186"/>
      <c r="E40" s="199"/>
      <c r="F40" s="199"/>
      <c r="G40" s="24"/>
      <c r="H40" s="24"/>
      <c r="I40" s="24"/>
      <c r="J40" s="24"/>
      <c r="K40" s="24"/>
      <c r="L40" s="24"/>
      <c r="M40" s="24"/>
    </row>
    <row r="41" spans="1:13" ht="24.95" customHeight="1" x14ac:dyDescent="0.25">
      <c r="C41" s="192"/>
      <c r="D41" s="186"/>
      <c r="E41" s="199"/>
      <c r="F41" s="199"/>
      <c r="G41" s="24"/>
      <c r="H41" s="24"/>
      <c r="I41" s="24"/>
      <c r="J41" s="24"/>
      <c r="K41" s="24"/>
      <c r="L41" s="24"/>
      <c r="M41" s="24"/>
    </row>
    <row r="42" spans="1:13" ht="24.95" customHeight="1" x14ac:dyDescent="0.25">
      <c r="C42" s="192"/>
      <c r="D42" s="186"/>
      <c r="E42" s="199"/>
      <c r="F42" s="199"/>
      <c r="G42" s="24"/>
      <c r="H42" s="24"/>
      <c r="I42" s="24"/>
      <c r="J42" s="24"/>
      <c r="K42" s="24"/>
      <c r="L42" s="24"/>
      <c r="M42" s="24"/>
    </row>
    <row r="43" spans="1:13" ht="24.95" customHeight="1" x14ac:dyDescent="0.25">
      <c r="C43" s="192"/>
      <c r="D43" s="186"/>
      <c r="E43" s="199"/>
      <c r="F43" s="199"/>
      <c r="G43" s="24"/>
      <c r="H43" s="24"/>
      <c r="I43" s="24"/>
      <c r="J43" s="24"/>
      <c r="K43" s="24"/>
      <c r="L43" s="24"/>
      <c r="M43" s="24"/>
    </row>
    <row r="44" spans="1:13" ht="24.95" customHeight="1" x14ac:dyDescent="0.25">
      <c r="C44" s="192"/>
      <c r="D44" s="186"/>
      <c r="E44" s="199"/>
      <c r="F44" s="199"/>
      <c r="G44" s="24"/>
      <c r="H44" s="24"/>
      <c r="I44" s="24"/>
      <c r="J44" s="24"/>
      <c r="K44" s="24"/>
      <c r="L44" s="24"/>
      <c r="M44" s="24"/>
    </row>
    <row r="45" spans="1:13" ht="24.95" customHeight="1" x14ac:dyDescent="0.25">
      <c r="C45" s="192"/>
      <c r="D45" s="186"/>
      <c r="E45" s="199"/>
      <c r="F45" s="199"/>
      <c r="G45" s="24"/>
      <c r="H45" s="24"/>
      <c r="I45" s="24"/>
      <c r="J45" s="24"/>
      <c r="K45" s="24"/>
      <c r="L45" s="24"/>
      <c r="M45" s="24"/>
    </row>
    <row r="46" spans="1:13" ht="24.95" customHeight="1" x14ac:dyDescent="0.25">
      <c r="C46" s="192"/>
      <c r="D46" s="186"/>
      <c r="E46" s="199"/>
      <c r="F46" s="199"/>
      <c r="G46" s="24"/>
      <c r="H46" s="24"/>
      <c r="I46" s="24"/>
      <c r="J46" s="24"/>
      <c r="K46" s="24"/>
      <c r="L46" s="24"/>
      <c r="M46" s="24"/>
    </row>
    <row r="47" spans="1:13" ht="24.95" customHeight="1" x14ac:dyDescent="0.25">
      <c r="C47" s="192"/>
      <c r="D47" s="186"/>
      <c r="E47" s="199"/>
      <c r="F47" s="199"/>
      <c r="G47" s="24"/>
      <c r="H47" s="24"/>
      <c r="I47" s="24"/>
      <c r="J47" s="24"/>
      <c r="K47" s="24"/>
      <c r="L47" s="24"/>
      <c r="M47" s="24"/>
    </row>
    <row r="48" spans="1:13" ht="24.95" customHeight="1" x14ac:dyDescent="0.25">
      <c r="C48" s="192"/>
      <c r="D48" s="186"/>
      <c r="E48" s="199"/>
      <c r="F48" s="199"/>
      <c r="G48" s="24"/>
      <c r="H48" s="24"/>
      <c r="I48" s="24"/>
      <c r="J48" s="24"/>
      <c r="K48" s="24"/>
      <c r="L48" s="24"/>
      <c r="M48" s="24"/>
    </row>
    <row r="49" spans="3:13" ht="24.95" customHeight="1" x14ac:dyDescent="0.25">
      <c r="C49" s="192"/>
      <c r="D49" s="186"/>
      <c r="E49" s="199"/>
      <c r="F49" s="199"/>
      <c r="G49" s="24"/>
      <c r="H49" s="24"/>
      <c r="I49" s="24"/>
      <c r="J49" s="24"/>
      <c r="K49" s="24"/>
      <c r="L49" s="24"/>
      <c r="M49" s="24"/>
    </row>
    <row r="50" spans="3:13" ht="24.95" customHeight="1" x14ac:dyDescent="0.25">
      <c r="C50" s="192"/>
      <c r="D50" s="186"/>
      <c r="E50" s="199"/>
      <c r="F50" s="199"/>
      <c r="G50" s="24"/>
      <c r="H50" s="24"/>
      <c r="I50" s="24"/>
      <c r="J50" s="24"/>
      <c r="K50" s="24"/>
      <c r="L50" s="24"/>
      <c r="M50" s="24"/>
    </row>
    <row r="51" spans="3:13" ht="24.95" customHeight="1" x14ac:dyDescent="0.25">
      <c r="C51" s="192"/>
      <c r="D51" s="186"/>
      <c r="E51" s="199"/>
      <c r="F51" s="199"/>
      <c r="G51" s="24"/>
      <c r="H51" s="24"/>
      <c r="I51" s="24"/>
      <c r="J51" s="24"/>
      <c r="K51" s="24"/>
      <c r="L51" s="24"/>
      <c r="M51" s="24"/>
    </row>
    <row r="52" spans="3:13" ht="24.95" customHeight="1" x14ac:dyDescent="0.25">
      <c r="C52" s="192"/>
      <c r="D52" s="186"/>
      <c r="E52" s="199"/>
      <c r="F52" s="199"/>
      <c r="G52" s="24"/>
      <c r="H52" s="24"/>
      <c r="I52" s="24"/>
      <c r="J52" s="24"/>
      <c r="K52" s="24"/>
      <c r="L52" s="24"/>
      <c r="M52" s="24"/>
    </row>
    <row r="53" spans="3:13" ht="24.95" customHeight="1" x14ac:dyDescent="0.25">
      <c r="C53" s="192"/>
      <c r="D53" s="186"/>
      <c r="E53" s="199"/>
      <c r="F53" s="199"/>
      <c r="G53" s="24"/>
      <c r="H53" s="24"/>
      <c r="I53" s="24"/>
      <c r="J53" s="24"/>
      <c r="K53" s="24"/>
      <c r="L53" s="24"/>
      <c r="M53" s="24"/>
    </row>
    <row r="54" spans="3:13" ht="15.75" customHeight="1" x14ac:dyDescent="0.25">
      <c r="C54" s="192"/>
      <c r="D54" s="186"/>
      <c r="E54" s="199"/>
      <c r="F54" s="199"/>
      <c r="G54" s="24"/>
      <c r="H54" s="24"/>
      <c r="I54" s="24"/>
      <c r="J54" s="24"/>
      <c r="K54" s="24"/>
      <c r="L54" s="24"/>
      <c r="M54" s="24"/>
    </row>
    <row r="55" spans="3:13" ht="15.75" customHeight="1" x14ac:dyDescent="0.25">
      <c r="C55" s="192"/>
      <c r="D55" s="186"/>
      <c r="E55" s="199"/>
      <c r="F55" s="199"/>
      <c r="G55" s="24"/>
      <c r="H55" s="24"/>
      <c r="I55" s="24"/>
      <c r="J55" s="24"/>
      <c r="K55" s="24"/>
      <c r="L55" s="24"/>
      <c r="M55" s="24"/>
    </row>
    <row r="56" spans="3:13" ht="15.75" customHeight="1" x14ac:dyDescent="0.25">
      <c r="C56" s="192"/>
      <c r="D56" s="186"/>
      <c r="E56" s="199"/>
      <c r="F56" s="199"/>
      <c r="G56" s="24"/>
      <c r="H56" s="24"/>
      <c r="I56" s="24"/>
      <c r="J56" s="24"/>
      <c r="K56" s="24"/>
      <c r="L56" s="24"/>
      <c r="M56" s="24"/>
    </row>
    <row r="57" spans="3:13" ht="15.75" customHeight="1" x14ac:dyDescent="0.25">
      <c r="C57" s="192"/>
      <c r="D57" s="186"/>
      <c r="E57" s="199"/>
      <c r="F57" s="199"/>
      <c r="G57" s="24"/>
      <c r="H57" s="24"/>
      <c r="I57" s="24"/>
      <c r="J57" s="24"/>
      <c r="K57" s="24"/>
      <c r="L57" s="24"/>
      <c r="M57" s="24"/>
    </row>
    <row r="58" spans="3:13" ht="15.75" customHeight="1" x14ac:dyDescent="0.25">
      <c r="C58" s="192"/>
      <c r="D58" s="186"/>
      <c r="E58" s="199"/>
      <c r="F58" s="199"/>
      <c r="G58" s="24"/>
      <c r="H58" s="24"/>
      <c r="I58" s="24"/>
      <c r="J58" s="24"/>
      <c r="K58" s="24"/>
      <c r="L58" s="24"/>
      <c r="M58" s="24"/>
    </row>
    <row r="59" spans="3:13" ht="15.75" customHeight="1" x14ac:dyDescent="0.25">
      <c r="C59" s="192"/>
      <c r="D59" s="186"/>
      <c r="E59" s="199"/>
      <c r="F59" s="199"/>
      <c r="G59" s="24"/>
      <c r="H59" s="24"/>
      <c r="I59" s="24"/>
      <c r="J59" s="24"/>
      <c r="K59" s="24"/>
      <c r="L59" s="24"/>
      <c r="M59" s="24"/>
    </row>
    <row r="60" spans="3:13" ht="15.75" customHeight="1" x14ac:dyDescent="0.25">
      <c r="C60" s="192"/>
      <c r="D60" s="186"/>
      <c r="E60" s="199"/>
      <c r="F60" s="199"/>
      <c r="G60" s="24"/>
      <c r="H60" s="24"/>
      <c r="I60" s="24"/>
      <c r="J60" s="24"/>
      <c r="K60" s="24"/>
      <c r="L60" s="24"/>
      <c r="M60" s="24"/>
    </row>
    <row r="61" spans="3:13" ht="15.75" customHeight="1" x14ac:dyDescent="0.25">
      <c r="C61" s="192"/>
      <c r="D61" s="186"/>
      <c r="E61" s="199"/>
      <c r="F61" s="199"/>
      <c r="G61" s="24"/>
      <c r="H61" s="24"/>
      <c r="I61" s="24"/>
      <c r="J61" s="24"/>
      <c r="K61" s="24"/>
      <c r="L61" s="24"/>
      <c r="M61" s="24"/>
    </row>
    <row r="62" spans="3:13" ht="15.75" customHeight="1" x14ac:dyDescent="0.25">
      <c r="C62" s="192"/>
      <c r="D62" s="186"/>
      <c r="E62" s="199"/>
      <c r="F62" s="199"/>
      <c r="G62" s="24"/>
      <c r="H62" s="24"/>
      <c r="I62" s="24"/>
      <c r="J62" s="24"/>
      <c r="K62" s="24"/>
      <c r="L62" s="24"/>
      <c r="M62" s="24"/>
    </row>
    <row r="63" spans="3:13" ht="15.75" customHeight="1" x14ac:dyDescent="0.25">
      <c r="C63" s="192"/>
      <c r="D63" s="186"/>
      <c r="E63" s="199"/>
      <c r="F63" s="199"/>
      <c r="G63" s="24"/>
      <c r="H63" s="24"/>
      <c r="I63" s="24"/>
      <c r="J63" s="24"/>
      <c r="K63" s="24"/>
      <c r="L63" s="24"/>
      <c r="M63" s="24"/>
    </row>
    <row r="64" spans="3:13" ht="15.75" customHeight="1" x14ac:dyDescent="0.25">
      <c r="C64" s="192"/>
      <c r="D64" s="186"/>
      <c r="E64" s="199"/>
      <c r="F64" s="199"/>
      <c r="G64" s="24"/>
      <c r="H64" s="24"/>
      <c r="I64" s="24"/>
      <c r="J64" s="24"/>
      <c r="K64" s="24"/>
      <c r="L64" s="24"/>
      <c r="M64" s="24"/>
    </row>
    <row r="65" spans="3:13" ht="15.75" customHeight="1" x14ac:dyDescent="0.25">
      <c r="C65" s="192"/>
      <c r="D65" s="186"/>
      <c r="E65" s="199"/>
      <c r="F65" s="199"/>
      <c r="G65" s="24"/>
      <c r="H65" s="24"/>
      <c r="I65" s="24"/>
      <c r="J65" s="24"/>
      <c r="K65" s="24"/>
      <c r="L65" s="24"/>
      <c r="M65" s="24"/>
    </row>
    <row r="66" spans="3:13" ht="15.75" customHeight="1" x14ac:dyDescent="0.25">
      <c r="C66" s="192"/>
      <c r="D66" s="186"/>
      <c r="E66" s="199"/>
      <c r="F66" s="199"/>
      <c r="G66" s="24"/>
      <c r="H66" s="24"/>
      <c r="I66" s="24"/>
      <c r="J66" s="24"/>
      <c r="K66" s="24"/>
      <c r="L66" s="24"/>
      <c r="M66" s="24"/>
    </row>
    <row r="67" spans="3:13" ht="15.75" customHeight="1" x14ac:dyDescent="0.25">
      <c r="C67" s="192"/>
      <c r="D67" s="186"/>
      <c r="E67" s="199"/>
      <c r="F67" s="199"/>
      <c r="G67" s="24"/>
      <c r="H67" s="24"/>
      <c r="I67" s="24"/>
      <c r="J67" s="24"/>
      <c r="K67" s="24"/>
      <c r="L67" s="24"/>
      <c r="M67" s="24"/>
    </row>
    <row r="68" spans="3:13" ht="15.75" customHeight="1" x14ac:dyDescent="0.25">
      <c r="C68" s="192"/>
      <c r="D68" s="186"/>
      <c r="E68" s="199"/>
      <c r="F68" s="199"/>
      <c r="G68" s="24"/>
      <c r="H68" s="24"/>
      <c r="I68" s="24"/>
      <c r="J68" s="24"/>
      <c r="K68" s="24"/>
      <c r="L68" s="24"/>
      <c r="M68" s="24"/>
    </row>
    <row r="69" spans="3:13" ht="15.75" customHeight="1" x14ac:dyDescent="0.25">
      <c r="C69" s="192"/>
      <c r="D69" s="186"/>
      <c r="E69" s="199"/>
      <c r="F69" s="199"/>
      <c r="G69" s="24"/>
      <c r="H69" s="24"/>
      <c r="I69" s="24"/>
      <c r="J69" s="24"/>
      <c r="K69" s="24"/>
      <c r="L69" s="24"/>
      <c r="M69" s="24"/>
    </row>
    <row r="70" spans="3:13" ht="15.75" customHeight="1" x14ac:dyDescent="0.25">
      <c r="C70" s="192"/>
      <c r="D70" s="186"/>
      <c r="E70" s="199"/>
      <c r="F70" s="199"/>
      <c r="G70" s="24"/>
      <c r="H70" s="24"/>
      <c r="I70" s="24"/>
      <c r="J70" s="24"/>
      <c r="K70" s="24"/>
      <c r="L70" s="24"/>
      <c r="M70" s="24"/>
    </row>
    <row r="71" spans="3:13" ht="15.75" customHeight="1" x14ac:dyDescent="0.25">
      <c r="C71" s="192"/>
      <c r="D71" s="186"/>
      <c r="E71" s="199"/>
      <c r="F71" s="199"/>
      <c r="G71" s="24"/>
      <c r="H71" s="24"/>
      <c r="I71" s="24"/>
      <c r="J71" s="24"/>
      <c r="K71" s="24"/>
      <c r="L71" s="24"/>
      <c r="M71" s="24"/>
    </row>
    <row r="72" spans="3:13" ht="15.75" customHeight="1" x14ac:dyDescent="0.25">
      <c r="C72" s="192"/>
      <c r="D72" s="186"/>
      <c r="E72" s="199"/>
      <c r="F72" s="199"/>
      <c r="G72" s="24"/>
      <c r="H72" s="24"/>
      <c r="I72" s="24"/>
      <c r="J72" s="24"/>
      <c r="K72" s="24"/>
      <c r="L72" s="24"/>
      <c r="M72" s="24"/>
    </row>
    <row r="73" spans="3:13" ht="15.75" customHeight="1" x14ac:dyDescent="0.25">
      <c r="C73" s="192"/>
      <c r="D73" s="186"/>
      <c r="E73" s="199"/>
      <c r="F73" s="199"/>
      <c r="G73" s="24"/>
      <c r="H73" s="24"/>
      <c r="I73" s="24"/>
      <c r="J73" s="24"/>
      <c r="K73" s="24"/>
      <c r="L73" s="24"/>
      <c r="M73" s="24"/>
    </row>
    <row r="74" spans="3:13" ht="15.75" customHeight="1" x14ac:dyDescent="0.25">
      <c r="C74" s="192"/>
      <c r="D74" s="186"/>
      <c r="E74" s="199"/>
      <c r="F74" s="199"/>
      <c r="G74" s="24"/>
      <c r="H74" s="24"/>
      <c r="I74" s="24"/>
      <c r="J74" s="24"/>
      <c r="K74" s="24"/>
      <c r="L74" s="24"/>
      <c r="M74" s="24"/>
    </row>
    <row r="75" spans="3:13" ht="15.75" customHeight="1" x14ac:dyDescent="0.25">
      <c r="C75" s="192"/>
      <c r="D75" s="186"/>
      <c r="E75" s="199"/>
      <c r="F75" s="199"/>
      <c r="G75" s="24"/>
      <c r="H75" s="24"/>
      <c r="I75" s="24"/>
      <c r="J75" s="24"/>
      <c r="K75" s="24"/>
      <c r="L75" s="24"/>
      <c r="M75" s="24"/>
    </row>
    <row r="76" spans="3:13" ht="15.75" customHeight="1" x14ac:dyDescent="0.25">
      <c r="C76" s="192"/>
      <c r="D76" s="186"/>
      <c r="E76" s="199"/>
      <c r="F76" s="199"/>
      <c r="G76" s="24"/>
      <c r="H76" s="24"/>
      <c r="I76" s="24"/>
      <c r="J76" s="24"/>
      <c r="K76" s="24"/>
      <c r="L76" s="24"/>
      <c r="M76" s="24"/>
    </row>
    <row r="77" spans="3:13" ht="15.75" customHeight="1" x14ac:dyDescent="0.25">
      <c r="C77" s="192"/>
      <c r="D77" s="186"/>
      <c r="E77" s="199"/>
      <c r="F77" s="199"/>
      <c r="G77" s="24"/>
      <c r="H77" s="24"/>
      <c r="I77" s="24"/>
      <c r="J77" s="24"/>
      <c r="K77" s="24"/>
      <c r="L77" s="24"/>
      <c r="M77" s="24"/>
    </row>
    <row r="78" spans="3:13" ht="15.75" customHeight="1" x14ac:dyDescent="0.25">
      <c r="C78" s="192"/>
      <c r="D78" s="186"/>
      <c r="E78" s="199"/>
      <c r="F78" s="199"/>
      <c r="G78" s="24"/>
      <c r="H78" s="24"/>
      <c r="I78" s="24"/>
      <c r="J78" s="24"/>
      <c r="K78" s="24"/>
      <c r="L78" s="24"/>
      <c r="M78" s="24"/>
    </row>
    <row r="79" spans="3:13" ht="15.75" customHeight="1" x14ac:dyDescent="0.25">
      <c r="C79" s="192"/>
      <c r="D79" s="186"/>
      <c r="E79" s="199"/>
      <c r="F79" s="199"/>
      <c r="G79" s="24"/>
      <c r="H79" s="24"/>
      <c r="I79" s="24"/>
      <c r="J79" s="24"/>
      <c r="K79" s="24"/>
      <c r="L79" s="24"/>
      <c r="M79" s="24"/>
    </row>
    <row r="80" spans="3:13" ht="15.75" customHeight="1" x14ac:dyDescent="0.25">
      <c r="C80" s="192"/>
      <c r="D80" s="186"/>
      <c r="E80" s="199"/>
      <c r="F80" s="199"/>
      <c r="G80" s="24"/>
      <c r="H80" s="24"/>
      <c r="I80" s="24"/>
      <c r="J80" s="24"/>
      <c r="K80" s="24"/>
      <c r="L80" s="24"/>
      <c r="M80" s="24"/>
    </row>
    <row r="81" spans="3:13" ht="15.75" customHeight="1" x14ac:dyDescent="0.25">
      <c r="C81" s="192"/>
      <c r="D81" s="186"/>
      <c r="E81" s="199"/>
      <c r="F81" s="199"/>
      <c r="G81" s="24"/>
      <c r="H81" s="24"/>
      <c r="I81" s="24"/>
      <c r="J81" s="24"/>
      <c r="K81" s="24"/>
      <c r="L81" s="24"/>
      <c r="M81" s="24"/>
    </row>
    <row r="82" spans="3:13" ht="15.75" customHeight="1" x14ac:dyDescent="0.25">
      <c r="C82" s="192"/>
      <c r="D82" s="186"/>
      <c r="E82" s="199"/>
      <c r="F82" s="199"/>
      <c r="G82" s="24"/>
      <c r="H82" s="24"/>
      <c r="I82" s="24"/>
      <c r="J82" s="24"/>
      <c r="K82" s="24"/>
      <c r="L82" s="24"/>
      <c r="M82" s="24"/>
    </row>
    <row r="83" spans="3:13" ht="15.75" customHeight="1" x14ac:dyDescent="0.25">
      <c r="C83" s="192"/>
      <c r="D83" s="186"/>
      <c r="E83" s="199"/>
      <c r="F83" s="199"/>
      <c r="G83" s="24"/>
      <c r="H83" s="24"/>
      <c r="I83" s="24"/>
      <c r="J83" s="24"/>
      <c r="K83" s="24"/>
      <c r="L83" s="24"/>
      <c r="M83" s="24"/>
    </row>
    <row r="84" spans="3:13" ht="15.75" customHeight="1" x14ac:dyDescent="0.25">
      <c r="C84" s="192"/>
      <c r="D84" s="186"/>
      <c r="E84" s="199"/>
      <c r="F84" s="199"/>
      <c r="G84" s="24"/>
      <c r="H84" s="24"/>
      <c r="I84" s="24"/>
      <c r="J84" s="24"/>
      <c r="K84" s="24"/>
      <c r="L84" s="24"/>
      <c r="M84" s="24"/>
    </row>
    <row r="85" spans="3:13" ht="15.75" customHeight="1" x14ac:dyDescent="0.25">
      <c r="C85" s="192"/>
      <c r="D85" s="186"/>
      <c r="E85" s="199"/>
      <c r="F85" s="199"/>
      <c r="G85" s="24"/>
      <c r="H85" s="24"/>
      <c r="I85" s="24"/>
      <c r="J85" s="24"/>
      <c r="K85" s="24"/>
      <c r="L85" s="24"/>
      <c r="M85" s="24"/>
    </row>
    <row r="86" spans="3:13" ht="15.75" customHeight="1" x14ac:dyDescent="0.25">
      <c r="C86" s="192"/>
      <c r="D86" s="186"/>
      <c r="E86" s="199"/>
      <c r="F86" s="199"/>
      <c r="G86" s="24"/>
      <c r="H86" s="24"/>
      <c r="I86" s="24"/>
      <c r="J86" s="24"/>
      <c r="K86" s="24"/>
      <c r="L86" s="24"/>
      <c r="M86" s="24"/>
    </row>
    <row r="87" spans="3:13" ht="15.75" customHeight="1" x14ac:dyDescent="0.25">
      <c r="C87" s="192"/>
      <c r="D87" s="186"/>
      <c r="E87" s="199"/>
      <c r="F87" s="199"/>
      <c r="G87" s="24"/>
      <c r="H87" s="24"/>
      <c r="I87" s="24"/>
      <c r="J87" s="24"/>
      <c r="K87" s="24"/>
      <c r="L87" s="24"/>
      <c r="M87" s="24"/>
    </row>
    <row r="88" spans="3:13" ht="15.75" customHeight="1" x14ac:dyDescent="0.25">
      <c r="C88" s="192"/>
      <c r="D88" s="186"/>
      <c r="E88" s="199"/>
      <c r="F88" s="199"/>
      <c r="G88" s="24"/>
      <c r="H88" s="24"/>
      <c r="I88" s="24"/>
      <c r="J88" s="24"/>
      <c r="K88" s="24"/>
      <c r="L88" s="24"/>
      <c r="M88" s="24"/>
    </row>
    <row r="89" spans="3:13" ht="15.75" customHeight="1" x14ac:dyDescent="0.25">
      <c r="C89" s="192"/>
      <c r="D89" s="186"/>
      <c r="E89" s="199"/>
      <c r="F89" s="199"/>
      <c r="G89" s="24"/>
      <c r="H89" s="24"/>
      <c r="I89" s="24"/>
      <c r="J89" s="24"/>
      <c r="K89" s="24"/>
      <c r="L89" s="24"/>
      <c r="M89" s="24"/>
    </row>
    <row r="90" spans="3:13" ht="15.75" customHeight="1" x14ac:dyDescent="0.25">
      <c r="C90" s="192"/>
      <c r="D90" s="186"/>
      <c r="E90" s="199"/>
      <c r="F90" s="199"/>
      <c r="G90" s="24"/>
      <c r="H90" s="24"/>
      <c r="I90" s="24"/>
      <c r="J90" s="24"/>
      <c r="K90" s="24"/>
      <c r="L90" s="24"/>
      <c r="M90" s="24"/>
    </row>
    <row r="91" spans="3:13" ht="15.75" customHeight="1" x14ac:dyDescent="0.25">
      <c r="C91" s="192"/>
      <c r="D91" s="186"/>
      <c r="E91" s="199"/>
      <c r="F91" s="199"/>
      <c r="G91" s="24"/>
      <c r="H91" s="24"/>
      <c r="I91" s="24"/>
      <c r="J91" s="24"/>
      <c r="K91" s="24"/>
      <c r="L91" s="24"/>
      <c r="M91" s="24"/>
    </row>
    <row r="92" spans="3:13" ht="15.75" customHeight="1" x14ac:dyDescent="0.25">
      <c r="C92" s="192"/>
      <c r="D92" s="186"/>
      <c r="E92" s="199"/>
      <c r="F92" s="199"/>
      <c r="G92" s="24"/>
      <c r="H92" s="24"/>
      <c r="I92" s="24"/>
      <c r="J92" s="24"/>
      <c r="K92" s="24"/>
      <c r="L92" s="24"/>
      <c r="M92" s="24"/>
    </row>
    <row r="93" spans="3:13" ht="15.75" customHeight="1" x14ac:dyDescent="0.25">
      <c r="C93" s="192"/>
      <c r="D93" s="186"/>
      <c r="E93" s="199"/>
      <c r="F93" s="199"/>
      <c r="G93" s="24"/>
      <c r="H93" s="24"/>
      <c r="I93" s="24"/>
      <c r="J93" s="24"/>
      <c r="K93" s="24"/>
      <c r="L93" s="24"/>
      <c r="M93" s="24"/>
    </row>
    <row r="94" spans="3:13" ht="15.75" customHeight="1" x14ac:dyDescent="0.25">
      <c r="C94" s="192"/>
      <c r="D94" s="186"/>
      <c r="E94" s="199"/>
      <c r="F94" s="199"/>
      <c r="G94" s="24"/>
      <c r="H94" s="24"/>
      <c r="I94" s="24"/>
      <c r="J94" s="24"/>
      <c r="K94" s="24"/>
      <c r="L94" s="24"/>
      <c r="M94" s="24"/>
    </row>
    <row r="95" spans="3:13" ht="15.75" customHeight="1" x14ac:dyDescent="0.25">
      <c r="C95" s="192"/>
      <c r="D95" s="186"/>
      <c r="E95" s="199"/>
      <c r="F95" s="199"/>
      <c r="G95" s="24"/>
      <c r="H95" s="24"/>
      <c r="I95" s="24"/>
      <c r="J95" s="24"/>
      <c r="K95" s="24"/>
      <c r="L95" s="24"/>
      <c r="M95" s="24"/>
    </row>
    <row r="96" spans="3:13" ht="15.75" customHeight="1" x14ac:dyDescent="0.25">
      <c r="C96" s="192"/>
      <c r="D96" s="186"/>
      <c r="E96" s="199"/>
      <c r="F96" s="199"/>
      <c r="G96" s="24"/>
      <c r="H96" s="24"/>
      <c r="I96" s="24"/>
      <c r="J96" s="24"/>
      <c r="K96" s="24"/>
      <c r="L96" s="24"/>
      <c r="M96" s="24"/>
    </row>
    <row r="97" spans="3:13" ht="15.75" customHeight="1" x14ac:dyDescent="0.25">
      <c r="C97" s="192"/>
      <c r="D97" s="186"/>
      <c r="E97" s="199"/>
      <c r="F97" s="199"/>
      <c r="G97" s="24"/>
      <c r="H97" s="24"/>
      <c r="I97" s="24"/>
      <c r="J97" s="24"/>
      <c r="K97" s="24"/>
      <c r="L97" s="24"/>
      <c r="M97" s="24"/>
    </row>
    <row r="98" spans="3:13" ht="15.75" customHeight="1" x14ac:dyDescent="0.25">
      <c r="C98" s="192"/>
      <c r="D98" s="186"/>
      <c r="E98" s="199"/>
      <c r="F98" s="199"/>
      <c r="G98" s="24"/>
      <c r="H98" s="24"/>
      <c r="I98" s="24"/>
      <c r="J98" s="24"/>
      <c r="K98" s="24"/>
      <c r="L98" s="24"/>
      <c r="M98" s="24"/>
    </row>
    <row r="99" spans="3:13" ht="15.75" customHeight="1" x14ac:dyDescent="0.25">
      <c r="C99" s="192"/>
      <c r="D99" s="186"/>
      <c r="E99" s="199"/>
      <c r="F99" s="199"/>
      <c r="G99" s="24"/>
      <c r="H99" s="24"/>
      <c r="I99" s="24"/>
      <c r="J99" s="24"/>
      <c r="K99" s="24"/>
      <c r="L99" s="24"/>
      <c r="M99" s="24"/>
    </row>
    <row r="100" spans="3:13" ht="15.75" customHeight="1" x14ac:dyDescent="0.25">
      <c r="C100" s="192"/>
      <c r="D100" s="186"/>
      <c r="E100" s="199"/>
      <c r="F100" s="199"/>
      <c r="G100" s="24"/>
      <c r="H100" s="24"/>
      <c r="I100" s="24"/>
      <c r="J100" s="24"/>
      <c r="K100" s="24"/>
      <c r="L100" s="24"/>
      <c r="M100" s="24"/>
    </row>
    <row r="101" spans="3:13" ht="15.75" customHeight="1" x14ac:dyDescent="0.25">
      <c r="C101" s="192"/>
      <c r="D101" s="186"/>
      <c r="E101" s="199"/>
      <c r="F101" s="199"/>
      <c r="G101" s="24"/>
      <c r="H101" s="24"/>
      <c r="I101" s="24"/>
      <c r="J101" s="24"/>
      <c r="K101" s="24"/>
      <c r="L101" s="24"/>
      <c r="M101" s="24"/>
    </row>
    <row r="102" spans="3:13" ht="15.75" customHeight="1" x14ac:dyDescent="0.25">
      <c r="C102" s="192"/>
      <c r="D102" s="186"/>
      <c r="E102" s="199"/>
      <c r="F102" s="199"/>
      <c r="G102" s="24"/>
      <c r="H102" s="24"/>
      <c r="I102" s="24"/>
      <c r="J102" s="24"/>
      <c r="K102" s="24"/>
      <c r="L102" s="24"/>
      <c r="M102" s="24"/>
    </row>
    <row r="103" spans="3:13" ht="15.75" customHeight="1" x14ac:dyDescent="0.25">
      <c r="C103" s="192"/>
      <c r="D103" s="186"/>
      <c r="E103" s="199"/>
      <c r="F103" s="199"/>
      <c r="G103" s="24"/>
      <c r="H103" s="24"/>
      <c r="I103" s="24"/>
      <c r="J103" s="24"/>
      <c r="K103" s="24"/>
      <c r="L103" s="24"/>
      <c r="M103" s="24"/>
    </row>
    <row r="104" spans="3:13" ht="15.75" customHeight="1" x14ac:dyDescent="0.25">
      <c r="C104" s="192"/>
      <c r="D104" s="186"/>
      <c r="E104" s="199"/>
      <c r="F104" s="199"/>
      <c r="G104" s="24"/>
      <c r="H104" s="24"/>
      <c r="I104" s="24"/>
      <c r="J104" s="24"/>
      <c r="K104" s="24"/>
      <c r="L104" s="24"/>
      <c r="M104" s="24"/>
    </row>
    <row r="105" spans="3:13" ht="15.75" customHeight="1" x14ac:dyDescent="0.25">
      <c r="C105" s="192"/>
      <c r="D105" s="186"/>
      <c r="E105" s="199"/>
      <c r="F105" s="199"/>
      <c r="G105" s="24"/>
      <c r="H105" s="24"/>
      <c r="I105" s="24"/>
      <c r="J105" s="24"/>
      <c r="K105" s="24"/>
      <c r="L105" s="24"/>
      <c r="M105" s="24"/>
    </row>
    <row r="106" spans="3:13" ht="15.75" customHeight="1" x14ac:dyDescent="0.25">
      <c r="C106" s="192"/>
      <c r="D106" s="186"/>
      <c r="E106" s="199"/>
      <c r="F106" s="199"/>
      <c r="G106" s="24"/>
      <c r="H106" s="24"/>
      <c r="I106" s="24"/>
      <c r="J106" s="24"/>
      <c r="K106" s="24"/>
      <c r="L106" s="24"/>
      <c r="M106" s="24"/>
    </row>
    <row r="107" spans="3:13" ht="15.75" customHeight="1" x14ac:dyDescent="0.25">
      <c r="C107" s="192"/>
      <c r="D107" s="186"/>
      <c r="E107" s="199"/>
      <c r="F107" s="199"/>
      <c r="G107" s="24"/>
      <c r="H107" s="24"/>
      <c r="I107" s="24"/>
      <c r="J107" s="24"/>
      <c r="K107" s="24"/>
      <c r="L107" s="24"/>
      <c r="M107" s="24"/>
    </row>
    <row r="108" spans="3:13" ht="15.75" customHeight="1" x14ac:dyDescent="0.25">
      <c r="C108" s="192"/>
      <c r="D108" s="186"/>
      <c r="E108" s="199"/>
      <c r="F108" s="199"/>
      <c r="G108" s="24"/>
      <c r="H108" s="24"/>
      <c r="I108" s="24"/>
      <c r="J108" s="24"/>
      <c r="K108" s="24"/>
      <c r="L108" s="24"/>
      <c r="M108" s="24"/>
    </row>
    <row r="109" spans="3:13" ht="15.75" customHeight="1" x14ac:dyDescent="0.25">
      <c r="C109" s="192"/>
      <c r="D109" s="186"/>
      <c r="E109" s="199"/>
      <c r="F109" s="199"/>
      <c r="G109" s="24"/>
      <c r="H109" s="24"/>
      <c r="I109" s="24"/>
      <c r="J109" s="24"/>
      <c r="K109" s="24"/>
      <c r="L109" s="24"/>
      <c r="M109" s="24"/>
    </row>
    <row r="110" spans="3:13" ht="15.75" customHeight="1" x14ac:dyDescent="0.25">
      <c r="C110" s="192"/>
      <c r="D110" s="186"/>
      <c r="E110" s="199"/>
      <c r="F110" s="199"/>
      <c r="G110" s="24"/>
      <c r="H110" s="24"/>
      <c r="I110" s="24"/>
      <c r="J110" s="24"/>
      <c r="K110" s="24"/>
      <c r="L110" s="24"/>
      <c r="M110" s="24"/>
    </row>
    <row r="111" spans="3:13" ht="15.75" customHeight="1" x14ac:dyDescent="0.25">
      <c r="C111" s="192"/>
      <c r="D111" s="186"/>
      <c r="E111" s="199"/>
      <c r="F111" s="199"/>
      <c r="G111" s="24"/>
      <c r="H111" s="24"/>
      <c r="I111" s="24"/>
      <c r="J111" s="24"/>
      <c r="K111" s="24"/>
      <c r="L111" s="24"/>
      <c r="M111" s="24"/>
    </row>
    <row r="112" spans="3:13" ht="15.75" customHeight="1" x14ac:dyDescent="0.25"/>
    <row r="113" ht="15.75" customHeight="1" x14ac:dyDescent="0.25"/>
  </sheetData>
  <sheetProtection algorithmName="SHA-512" hashValue="K+XGOJFkLNrDoEyVK1GH+c5+JpnTgnzsPAJVAFEDx83eI+yx9O6qEQlsHEh1tPjY8H+d4hyMfWtYiQbIdHNKQA==" saltValue="KgObyQFJZfNp+krpdcy4nQ==" spinCount="100000" sheet="1" objects="1" scenarios="1" selectLockedCells="1"/>
  <protectedRanges>
    <protectedRange sqref="G3:J3" name="Intervalo1"/>
    <protectedRange sqref="G19:K19" name="Intervalo1_1"/>
    <protectedRange sqref="A16" name="Intervalo1_2"/>
    <protectedRange sqref="M6:M13 L6:L9 L11:L12 L14:M18 L21:M30" name="Intervalo1_4"/>
    <protectedRange sqref="L19:M19" name="Intervalo1_1_1"/>
    <protectedRange sqref="L31:M31" name="Intervalo1_3_1"/>
    <protectedRange sqref="G6:K18" name="Intervalo1_5"/>
    <protectedRange sqref="G21:K31" name="Intervalo1_6"/>
  </protectedRanges>
  <mergeCells count="29">
    <mergeCell ref="C1:K1"/>
    <mergeCell ref="A34:M34"/>
    <mergeCell ref="A33:M33"/>
    <mergeCell ref="C4:F4"/>
    <mergeCell ref="C20:F20"/>
    <mergeCell ref="C3:F3"/>
    <mergeCell ref="F8:F10"/>
    <mergeCell ref="E8:E10"/>
    <mergeCell ref="D8:D10"/>
    <mergeCell ref="C8:C10"/>
    <mergeCell ref="G8:G10"/>
    <mergeCell ref="H8:H10"/>
    <mergeCell ref="I8:I10"/>
    <mergeCell ref="C2:K2"/>
    <mergeCell ref="C5:F5"/>
    <mergeCell ref="G5:K5"/>
    <mergeCell ref="L8:L10"/>
    <mergeCell ref="L11:L13"/>
    <mergeCell ref="C11:C13"/>
    <mergeCell ref="J8:J10"/>
    <mergeCell ref="K8:K10"/>
    <mergeCell ref="D11:D13"/>
    <mergeCell ref="E11:E13"/>
    <mergeCell ref="F11:F13"/>
    <mergeCell ref="G11:G13"/>
    <mergeCell ref="H11:H13"/>
    <mergeCell ref="I11:I13"/>
    <mergeCell ref="J11:J13"/>
    <mergeCell ref="K11:K13"/>
  </mergeCells>
  <hyperlinks>
    <hyperlink ref="A34:M34" r:id="rId1" display="https://nuppre.ufsc.br/files/2014/04/2012-Veiros-e-Martinelli.pdf"/>
    <hyperlink ref="A14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AC69"/>
  <sheetViews>
    <sheetView showGridLines="0" showWhiteSpace="0" view="pageBreakPreview" topLeftCell="A7" zoomScale="80" zoomScaleNormal="50" zoomScaleSheetLayoutView="80" zoomScalePageLayoutView="80" workbookViewId="0">
      <selection activeCell="A20" sqref="A20"/>
    </sheetView>
  </sheetViews>
  <sheetFormatPr defaultColWidth="14.42578125" defaultRowHeight="15" customHeight="1" x14ac:dyDescent="0.25"/>
  <cols>
    <col min="1" max="1" width="23.85546875" style="321" customWidth="1"/>
    <col min="2" max="2" width="2.7109375" style="1" customWidth="1"/>
    <col min="3" max="3" width="2.28515625" style="1" customWidth="1"/>
    <col min="4" max="4" width="8" style="49" bestFit="1" customWidth="1"/>
    <col min="5" max="5" width="7.85546875" style="49" customWidth="1"/>
    <col min="6" max="6" width="5.28515625" style="49" customWidth="1"/>
    <col min="7" max="7" width="4.42578125" style="49" bestFit="1" customWidth="1"/>
    <col min="8" max="8" width="7.85546875" style="49" bestFit="1" customWidth="1"/>
    <col min="9" max="9" width="8.5703125" style="49" bestFit="1" customWidth="1"/>
    <col min="10" max="10" width="5.5703125" style="49" bestFit="1" customWidth="1"/>
    <col min="11" max="11" width="8.42578125" style="49" customWidth="1"/>
    <col min="12" max="12" width="8.85546875" style="49" bestFit="1" customWidth="1"/>
    <col min="13" max="13" width="7.140625" style="49" customWidth="1"/>
    <col min="14" max="14" width="8.140625" style="49" customWidth="1"/>
    <col min="15" max="15" width="8" style="388" bestFit="1" customWidth="1"/>
    <col min="16" max="16" width="6.7109375" style="388" customWidth="1"/>
    <col min="17" max="17" width="7.140625" style="388" bestFit="1" customWidth="1"/>
    <col min="18" max="18" width="7" style="388" customWidth="1"/>
    <col min="19" max="19" width="6.140625" style="8" customWidth="1"/>
    <col min="20" max="20" width="16.5703125" style="8" customWidth="1"/>
    <col min="21" max="21" width="6.42578125" style="8" customWidth="1"/>
    <col min="22" max="22" width="20.7109375" style="8" customWidth="1"/>
    <col min="23" max="23" width="6.28515625" style="8" customWidth="1"/>
    <col min="24" max="24" width="5" style="8" hidden="1" customWidth="1"/>
    <col min="25" max="25" width="23.85546875" style="8" customWidth="1"/>
    <col min="26" max="26" width="4.5703125" style="8" customWidth="1"/>
    <col min="27" max="27" width="20" style="8" customWidth="1"/>
    <col min="28" max="28" width="25.7109375" style="325" customWidth="1"/>
    <col min="29" max="29" width="5.5703125" style="325" hidden="1" customWidth="1"/>
    <col min="30" max="16384" width="14.42578125" style="1"/>
  </cols>
  <sheetData>
    <row r="1" spans="1:29" ht="67.5" customHeight="1" thickBot="1" x14ac:dyDescent="0.3">
      <c r="A1" s="25"/>
      <c r="B1" s="128"/>
      <c r="C1" s="128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61"/>
      <c r="P1" s="361"/>
      <c r="Q1" s="361"/>
      <c r="R1" s="361"/>
      <c r="S1" s="169"/>
      <c r="T1" s="169"/>
      <c r="U1" s="169"/>
      <c r="V1" s="169"/>
      <c r="W1" s="169"/>
      <c r="X1" s="169"/>
      <c r="Y1" s="169"/>
      <c r="Z1" s="169"/>
      <c r="AA1" s="169"/>
      <c r="AB1" s="324"/>
      <c r="AC1" s="324"/>
    </row>
    <row r="2" spans="1:29" ht="21.95" customHeight="1" thickBot="1" x14ac:dyDescent="0.3">
      <c r="A2" s="431" t="s">
        <v>338</v>
      </c>
      <c r="B2" s="128"/>
      <c r="C2" s="128"/>
      <c r="D2" s="771" t="s">
        <v>409</v>
      </c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3"/>
      <c r="P2" s="361"/>
      <c r="Q2" s="361"/>
      <c r="R2" s="361"/>
      <c r="S2" s="169"/>
      <c r="T2" s="771" t="s">
        <v>355</v>
      </c>
      <c r="U2" s="772"/>
      <c r="V2" s="772"/>
      <c r="W2" s="772"/>
      <c r="X2" s="772"/>
      <c r="Y2" s="772"/>
      <c r="Z2" s="772"/>
      <c r="AA2" s="773"/>
      <c r="AB2" s="421" t="s">
        <v>390</v>
      </c>
      <c r="AC2" s="324"/>
    </row>
    <row r="3" spans="1:29" ht="21.95" customHeight="1" thickBot="1" x14ac:dyDescent="0.3">
      <c r="A3" s="428" t="s">
        <v>407</v>
      </c>
      <c r="B3" s="128"/>
      <c r="C3" s="128"/>
      <c r="D3" s="347"/>
      <c r="E3" s="774" t="str">
        <f>SOCIODEMOGRÁFICA!E3</f>
        <v>GÊNERO</v>
      </c>
      <c r="F3" s="775"/>
      <c r="G3" s="774" t="s">
        <v>207</v>
      </c>
      <c r="H3" s="776"/>
      <c r="I3" s="776"/>
      <c r="J3" s="775"/>
      <c r="K3" s="774" t="s">
        <v>209</v>
      </c>
      <c r="L3" s="776"/>
      <c r="M3" s="775"/>
      <c r="N3" s="774" t="s">
        <v>221</v>
      </c>
      <c r="O3" s="775"/>
      <c r="P3" s="361"/>
      <c r="Q3" s="361"/>
      <c r="R3" s="361"/>
      <c r="S3" s="169"/>
      <c r="T3" s="744" t="s">
        <v>333</v>
      </c>
      <c r="U3" s="745"/>
      <c r="V3" s="745"/>
      <c r="W3" s="745"/>
      <c r="X3" s="738" t="str">
        <f>IF('CHECK LIST'!E70&lt;=25.549,"E - RISCO SANITÁRIO MUITO ALTO",IF(('CHECK LIST'!E70&gt;=25.55)*OR('CHECK LIST'!E70&lt;=50.549),"D - RISCO SANITÁRIO ALTO",IF(('CHECK LIST'!E70&gt;=50.55)*OR('CHECK LIST'!E70&lt;=75.549),"C - RISCO SANITÁRIO REGULAR",IF(('CHECK LIST'!E70&gt;=75.55)*OR('CHECK LIST'!E70&lt;=90.549),"B - RISCO SANITÁRIO BAIXO",IF(('CHECK LIST'!E70&gt;=90.55),"A - RISCO SANITÁRIO MUITO BAIXO")))))</f>
        <v>E - RISCO SANITÁRIO MUITO ALTO</v>
      </c>
      <c r="Y3" s="738"/>
      <c r="Z3" s="738"/>
      <c r="AA3" s="739"/>
      <c r="AB3" s="326">
        <f>'CHECK LIST'!D70</f>
        <v>0</v>
      </c>
      <c r="AC3" s="329">
        <f>'CHECK LIST'!E70</f>
        <v>0</v>
      </c>
    </row>
    <row r="4" spans="1:29" ht="21.95" customHeight="1" thickBot="1" x14ac:dyDescent="0.3">
      <c r="A4" s="430"/>
      <c r="B4" s="170"/>
      <c r="C4" s="128"/>
      <c r="D4" s="348"/>
      <c r="E4" s="362" t="str">
        <f>SOCIODEMOGRÁFICA!E4</f>
        <v>M</v>
      </c>
      <c r="F4" s="362" t="str">
        <f>SOCIODEMOGRÁFICA!F4</f>
        <v>F</v>
      </c>
      <c r="G4" s="362" t="str">
        <f>SOCIODEMOGRÁFICA!G4</f>
        <v>F1</v>
      </c>
      <c r="H4" s="362" t="str">
        <f>SOCIODEMOGRÁFICA!H4</f>
        <v>F2</v>
      </c>
      <c r="I4" s="362" t="str">
        <f>SOCIODEMOGRÁFICA!I4</f>
        <v>MD</v>
      </c>
      <c r="J4" s="362" t="str">
        <f>SOCIODEMOGRÁFICA!J4</f>
        <v>SUP</v>
      </c>
      <c r="K4" s="418" t="str">
        <f>SOCIODEMOGRÁFICA!K4</f>
        <v>PRÓPRIA</v>
      </c>
      <c r="L4" s="418" t="str">
        <f>SOCIODEMOGRÁFICA!L4</f>
        <v>ALUGADA</v>
      </c>
      <c r="M4" s="418" t="str">
        <f>SOCIODEMOGRÁFICA!M4</f>
        <v>OUTROS</v>
      </c>
      <c r="N4" s="362" t="str">
        <f>SOCIODEMOGRÁFICA!N4</f>
        <v>18-59a</v>
      </c>
      <c r="O4" s="362" t="str">
        <f>SOCIODEMOGRÁFICA!O4</f>
        <v>&gt;=60a</v>
      </c>
      <c r="P4" s="361"/>
      <c r="Q4" s="361"/>
      <c r="R4" s="361"/>
      <c r="S4" s="169"/>
      <c r="T4" s="780" t="s">
        <v>332</v>
      </c>
      <c r="U4" s="781"/>
      <c r="V4" s="781"/>
      <c r="W4" s="781"/>
      <c r="X4" s="740" t="str">
        <f>IF('CHECK LIST'!E89&lt;=25.549,"E - RISCO SANITÁRIO MUITO ALTO",IF(('CHECK LIST'!E89&gt;=25.55)*OR('CHECK LIST'!E89&lt;=50.549),"D - RISCO SANITÁRIO ALTO",IF(('CHECK LIST'!E89&gt;=50.55)*OR('CHECK LIST'!E89&lt;=75.549),"C - RISCO SANITÁRIO REGULAR",IF(('CHECK LIST'!E89&gt;=75.55)*OR('CHECK LIST'!E89&lt;=90.549),"B - RISCO SANITÁRIO BAIXO",IF(('CHECK LIST'!E89&gt;=90.55),"A - RISCO SANITÁRIO MUITO BAIXO")))))</f>
        <v>E - RISCO SANITÁRIO MUITO ALTO</v>
      </c>
      <c r="Y4" s="740"/>
      <c r="Z4" s="740"/>
      <c r="AA4" s="741"/>
      <c r="AB4" s="327">
        <f>'CHECK LIST'!D89</f>
        <v>0</v>
      </c>
      <c r="AC4" s="329">
        <f>'CHECK LIST'!E89</f>
        <v>0</v>
      </c>
    </row>
    <row r="5" spans="1:29" s="23" customFormat="1" ht="27.75" customHeight="1" thickBot="1" x14ac:dyDescent="0.3">
      <c r="A5" s="431" t="s">
        <v>339</v>
      </c>
      <c r="B5" s="170"/>
      <c r="C5" s="170"/>
      <c r="D5" s="349"/>
      <c r="E5" s="777" t="str">
        <f>SOCIODEMOGRÁFICA!D5</f>
        <v>Legenda: M - masculino; F - feminino; F1 - ensino fundamental 1; F2 - ensino fundamental 2; MD - ensino médio; SUP - ensino superior</v>
      </c>
      <c r="F5" s="778"/>
      <c r="G5" s="778"/>
      <c r="H5" s="778"/>
      <c r="I5" s="778"/>
      <c r="J5" s="778"/>
      <c r="K5" s="778"/>
      <c r="L5" s="778"/>
      <c r="M5" s="778"/>
      <c r="N5" s="778"/>
      <c r="O5" s="779"/>
      <c r="P5" s="361"/>
      <c r="Q5" s="361"/>
      <c r="R5" s="361"/>
      <c r="S5" s="169"/>
      <c r="T5" s="744" t="s">
        <v>334</v>
      </c>
      <c r="U5" s="745"/>
      <c r="V5" s="745"/>
      <c r="W5" s="745"/>
      <c r="X5" s="738" t="str">
        <f>IF('CHECK LIST'!E109&lt;=25.549,"E - RISCO SANITÁRIO MUITO ALTO",IF(('CHECK LIST'!E109&gt;=25.55)*OR('CHECK LIST'!E109&lt;=50.549),"D - RISCO SANITÁRIO ALTO",IF(('CHECK LIST'!E109&gt;=50.55)*OR('CHECK LIST'!E109&lt;=75.549),"C - RISCO SANITÁRIO REGULAR",IF(('CHECK LIST'!E109&gt;=75.55)*OR('CHECK LIST'!E109&lt;=90.549),"B - RISCO SANITÁRIO BAIXO",IF(('CHECK LIST'!E109&gt;=90.55),"A - RISCO SANITÁRIO MUITO BAIXO")))))</f>
        <v>E - RISCO SANITÁRIO MUITO ALTO</v>
      </c>
      <c r="Y5" s="738"/>
      <c r="Z5" s="738"/>
      <c r="AA5" s="739"/>
      <c r="AB5" s="326">
        <f>'CHECK LIST'!D109</f>
        <v>0</v>
      </c>
      <c r="AC5" s="330">
        <f>'CHECK LIST'!E109</f>
        <v>0</v>
      </c>
    </row>
    <row r="6" spans="1:29" s="23" customFormat="1" ht="21.95" customHeight="1" thickBot="1" x14ac:dyDescent="0.3">
      <c r="A6" s="428" t="s">
        <v>431</v>
      </c>
      <c r="B6" s="170"/>
      <c r="C6" s="170"/>
      <c r="D6" s="318" t="s">
        <v>1</v>
      </c>
      <c r="E6" s="363">
        <f>SOCIODEMOGRÁFICA!E16</f>
        <v>0</v>
      </c>
      <c r="F6" s="364">
        <f>SOCIODEMOGRÁFICA!F16</f>
        <v>0</v>
      </c>
      <c r="G6" s="363">
        <f>SOCIODEMOGRÁFICA!G16</f>
        <v>0</v>
      </c>
      <c r="H6" s="365">
        <f>SOCIODEMOGRÁFICA!H16</f>
        <v>0</v>
      </c>
      <c r="I6" s="365">
        <f>SOCIODEMOGRÁFICA!I16</f>
        <v>0</v>
      </c>
      <c r="J6" s="364">
        <f>SOCIODEMOGRÁFICA!J16</f>
        <v>0</v>
      </c>
      <c r="K6" s="363">
        <f>SOCIODEMOGRÁFICA!K16</f>
        <v>0</v>
      </c>
      <c r="L6" s="365">
        <f>SOCIODEMOGRÁFICA!L16</f>
        <v>0</v>
      </c>
      <c r="M6" s="364">
        <f>SOCIODEMOGRÁFICA!M16</f>
        <v>0</v>
      </c>
      <c r="N6" s="363">
        <f>SOCIODEMOGRÁFICA!N16</f>
        <v>0</v>
      </c>
      <c r="O6" s="364">
        <f>SOCIODEMOGRÁFICA!O16</f>
        <v>0</v>
      </c>
      <c r="P6" s="361"/>
      <c r="Q6" s="361"/>
      <c r="R6" s="361"/>
      <c r="S6" s="169"/>
      <c r="T6" s="746" t="s">
        <v>335</v>
      </c>
      <c r="U6" s="747"/>
      <c r="V6" s="747"/>
      <c r="W6" s="747"/>
      <c r="X6" s="740" t="str">
        <f>IF('CHECK LIST'!E122&lt;=25.549,"E - RISCO SANITÁRIO MUITO ALTO",IF(('CHECK LIST'!E122&gt;=25.55)*OR('CHECK LIST'!E122&lt;=50.549),"D - RISCO SANITÁRIO ALTO",IF(('CHECK LIST'!E122&gt;=50.55)*OR('CHECK LIST'!E122&lt;=75.549),"C - RISCO SANITÁRIO REGULAR",IF(('CHECK LIST'!E122&gt;=75.55)*OR('CHECK LIST'!E122&lt;=90.54),"B - RISCO SANITÁRIO BAIXO",IF(('CHECK LIST'!E122&gt;=90.55),"A - RISCO SANITÁRIO MUITO BAIXO")))))</f>
        <v>E - RISCO SANITÁRIO MUITO ALTO</v>
      </c>
      <c r="Y6" s="740"/>
      <c r="Z6" s="740"/>
      <c r="AA6" s="741"/>
      <c r="AB6" s="327">
        <f>'CHECK LIST'!D122</f>
        <v>0</v>
      </c>
      <c r="AC6" s="329">
        <f>'CHECK LIST'!E122</f>
        <v>0</v>
      </c>
    </row>
    <row r="7" spans="1:29" s="23" customFormat="1" ht="21.95" customHeight="1" thickBot="1" x14ac:dyDescent="0.3">
      <c r="A7" s="430"/>
      <c r="B7" s="170"/>
      <c r="C7" s="170"/>
      <c r="D7" s="317" t="s">
        <v>379</v>
      </c>
      <c r="E7" s="366" t="e">
        <f>(E6*100)/B33</f>
        <v>#DIV/0!</v>
      </c>
      <c r="F7" s="367" t="e">
        <f>(F6*100)/B33</f>
        <v>#DIV/0!</v>
      </c>
      <c r="G7" s="366" t="e">
        <f>(G6*100)/B33</f>
        <v>#DIV/0!</v>
      </c>
      <c r="H7" s="368" t="e">
        <f>(H6*100)/B33</f>
        <v>#DIV/0!</v>
      </c>
      <c r="I7" s="368" t="e">
        <f>(I6*100)/B33</f>
        <v>#DIV/0!</v>
      </c>
      <c r="J7" s="367" t="e">
        <f>(J6*100)/B33</f>
        <v>#DIV/0!</v>
      </c>
      <c r="K7" s="433" t="e">
        <f>(K6*100)/B33</f>
        <v>#DIV/0!</v>
      </c>
      <c r="L7" s="369" t="e">
        <f>(L6*100)/B33</f>
        <v>#DIV/0!</v>
      </c>
      <c r="M7" s="367" t="e">
        <f>(M6*100)/B33</f>
        <v>#DIV/0!</v>
      </c>
      <c r="N7" s="366" t="e">
        <f>(N6*100)/B33</f>
        <v>#DIV/0!</v>
      </c>
      <c r="O7" s="367" t="e">
        <f>(O6*100)/B33</f>
        <v>#DIV/0!</v>
      </c>
      <c r="P7" s="361"/>
      <c r="Q7" s="361"/>
      <c r="R7" s="361"/>
      <c r="S7" s="169"/>
      <c r="T7" s="744" t="s">
        <v>336</v>
      </c>
      <c r="U7" s="745"/>
      <c r="V7" s="745"/>
      <c r="W7" s="745"/>
      <c r="X7" s="738" t="str">
        <f>IF('CHECK LIST'!E183&lt;=25.549,"E - RISCO SANITÁRIO MUITO ALTO",IF(('CHECK LIST'!E183&gt;=25.55)*OR('CHECK LIST'!E183&lt;=50.549),"D - RISCO SANITÁRIO ALTO",IF(('CHECK LIST'!E183&gt;=50.55)*OR('CHECK LIST'!E183&lt;=75.549),"C - RISCO SANITÁRIO REGULAR",IF(('CHECK LIST'!E183&gt;=75.55)*OR('CHECK LIST'!E183&lt;=90.549),"B - RISCO SANITÁRIO BAIXO",IF(('CHECK LIST'!E183&gt;=90.55),"A - RISCO SANITÁRIO MUITO BAIXO")))))</f>
        <v>E - RISCO SANITÁRIO MUITO ALTO</v>
      </c>
      <c r="Y7" s="738"/>
      <c r="Z7" s="738"/>
      <c r="AA7" s="739"/>
      <c r="AB7" s="326">
        <f>'CHECK LIST'!D183</f>
        <v>0</v>
      </c>
      <c r="AC7" s="329">
        <f>'CHECK LIST'!E183</f>
        <v>0</v>
      </c>
    </row>
    <row r="8" spans="1:29" s="23" customFormat="1" ht="21.95" customHeight="1" thickBot="1" x14ac:dyDescent="0.3">
      <c r="A8" s="431" t="s">
        <v>385</v>
      </c>
      <c r="B8" s="170"/>
      <c r="C8" s="170"/>
      <c r="D8" s="359"/>
      <c r="E8" s="359"/>
      <c r="F8" s="359"/>
      <c r="G8" s="359"/>
      <c r="H8" s="359"/>
      <c r="I8" s="359"/>
      <c r="J8" s="359"/>
      <c r="K8" s="370"/>
      <c r="L8" s="370"/>
      <c r="M8" s="371"/>
      <c r="N8" s="370"/>
      <c r="O8" s="370"/>
      <c r="P8" s="370"/>
      <c r="Q8" s="361"/>
      <c r="R8" s="361"/>
      <c r="S8" s="169"/>
      <c r="T8" s="785" t="s">
        <v>337</v>
      </c>
      <c r="U8" s="786"/>
      <c r="V8" s="786"/>
      <c r="W8" s="786"/>
      <c r="X8" s="740" t="str">
        <f>IF('CHECK LIST'!E217&lt;=25.549,"E - RISCO SANITÁRIO MUITO ALTO",IF(('CHECK LIST'!E217&gt;=25.55)*OR('CHECK LIST'!E217&lt;=50.549),"D - RISCO SANITÁRIO ALTO",IF(('CHECK LIST'!E217&gt;=50.55)*OR('CHECK LIST'!E217&lt;=75.549),"C - RISCO SANITÁRIO REGULAR",IF(('CHECK LIST'!E217&gt;=75.55)*OR('CHECK LIST'!E217&lt;=90.549),"B - RISCO SANITÁRIO BAIXO",IF(('CHECK LIST'!E217&gt;=90.55),"A - RISCO SANITÁRIO MUITO BAIXO")))))</f>
        <v>E - RISCO SANITÁRIO MUITO ALTO</v>
      </c>
      <c r="Y8" s="740"/>
      <c r="Z8" s="740"/>
      <c r="AA8" s="741"/>
      <c r="AB8" s="328">
        <f>'CHECK LIST'!D217</f>
        <v>0</v>
      </c>
      <c r="AC8" s="329">
        <f>'CHECK LIST'!E217</f>
        <v>0</v>
      </c>
    </row>
    <row r="9" spans="1:29" s="23" customFormat="1" ht="43.5" customHeight="1" thickBot="1" x14ac:dyDescent="0.3">
      <c r="A9" s="428" t="s">
        <v>54</v>
      </c>
      <c r="B9" s="170"/>
      <c r="C9" s="170"/>
      <c r="D9" s="718" t="s">
        <v>426</v>
      </c>
      <c r="E9" s="719"/>
      <c r="F9" s="719"/>
      <c r="G9" s="719"/>
      <c r="H9" s="719"/>
      <c r="I9" s="719"/>
      <c r="J9" s="719"/>
      <c r="K9" s="719"/>
      <c r="L9" s="719"/>
      <c r="M9" s="722" t="e">
        <f>IF(SUSTENTABILIDADE!R40&lt;=7.999,"S - SATISFATÓRIO",IF((SUSTENTABILIDADE!R40&gt;=8)*OR(SUSTENTABILIDADE!R40&lt;=15.99),"R - REGULAR",IF((SUSTENTABILIDADE!R40&gt;=16),"I - INSATISFATÓRIO")))</f>
        <v>#DIV/0!</v>
      </c>
      <c r="N9" s="723"/>
      <c r="O9" s="723"/>
      <c r="P9" s="724"/>
      <c r="Q9" s="361"/>
      <c r="R9" s="361"/>
      <c r="S9" s="169"/>
      <c r="T9" s="767" t="s">
        <v>387</v>
      </c>
      <c r="U9" s="768"/>
      <c r="V9" s="756" t="str">
        <f>IF(AB9&lt;=25.549,"E - RISCO SANITÁRIO MUITO ALTO",IF((AB9&gt;=25.55)*OR(AB9&lt;=50.549),"D - RISCO SANITÁRIO ALTO",IF((AB9&gt;=50.55)*OR(AB9&lt;=75.549),"C - RISCO SANITÁRIO REGULAR",IF((AB9&gt;=75.55)*OR(AB9&lt;=90.549),"B - RISCO SANITÁRIO BAIXO",IF((AB9&gt;=90.55),"A - RISCO SANITÁRIO MUITO BAIXO")))))</f>
        <v>E - RISCO SANITÁRIO MUITO ALTO</v>
      </c>
      <c r="W9" s="756"/>
      <c r="X9" s="756"/>
      <c r="Y9" s="756"/>
      <c r="Z9" s="756"/>
      <c r="AA9" s="757"/>
      <c r="AB9" s="420">
        <f>AB3+AB4+AB5+AB6+AB7+AB8</f>
        <v>0</v>
      </c>
      <c r="AC9" s="329">
        <f>((AC3+AC4+AC5+AC6+AC7+AC8)/6)</f>
        <v>0</v>
      </c>
    </row>
    <row r="10" spans="1:29" s="23" customFormat="1" ht="33.75" customHeight="1" thickBot="1" x14ac:dyDescent="0.3">
      <c r="A10" s="430"/>
      <c r="B10" s="170"/>
      <c r="C10" s="170"/>
      <c r="D10" s="725"/>
      <c r="E10" s="713" t="str">
        <f>SUSTENTABILIDADE!D3</f>
        <v>COLETA SELETIVA</v>
      </c>
      <c r="F10" s="714"/>
      <c r="G10" s="714"/>
      <c r="H10" s="717"/>
      <c r="I10" s="713" t="str">
        <f>SUSTENTABILIDADE!H3</f>
        <v>AMBIENTE "VERDE"</v>
      </c>
      <c r="J10" s="714"/>
      <c r="K10" s="714"/>
      <c r="L10" s="717"/>
      <c r="M10" s="713" t="str">
        <f>SUSTENTABILIDADE!L3</f>
        <v>APROVEITAM. DA ÁGUA DA CHUVA</v>
      </c>
      <c r="N10" s="717"/>
      <c r="O10" s="713" t="str">
        <f>SUSTENTABILIDADE!N3</f>
        <v>AGRICULTURA FAMILIAR</v>
      </c>
      <c r="P10" s="717"/>
      <c r="Q10" s="361"/>
      <c r="R10" s="361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</row>
    <row r="11" spans="1:29" s="23" customFormat="1" ht="28.5" customHeight="1" thickBot="1" x14ac:dyDescent="0.3">
      <c r="A11" s="431" t="s">
        <v>386</v>
      </c>
      <c r="B11" s="170"/>
      <c r="C11" s="170"/>
      <c r="D11" s="726"/>
      <c r="E11" s="280" t="str">
        <f>SUSTENTABILIDADE!D4</f>
        <v>OL</v>
      </c>
      <c r="F11" s="280" t="str">
        <f>SUSTENTABILIDADE!E4</f>
        <v>RO</v>
      </c>
      <c r="G11" s="280" t="str">
        <f>SUSTENTABILIDADE!F4</f>
        <v>RP</v>
      </c>
      <c r="H11" s="280" t="str">
        <f>SUSTENTABILIDADE!G4</f>
        <v>NÃO</v>
      </c>
      <c r="I11" s="272" t="str">
        <f>SUSTENTABILIDADE!H4</f>
        <v>MINI HORTA</v>
      </c>
      <c r="J11" s="280" t="str">
        <f>SUSTENTABILIDADE!I4</f>
        <v>PL</v>
      </c>
      <c r="K11" s="280" t="str">
        <f>SUSTENTABILIDADE!J4</f>
        <v>ARV</v>
      </c>
      <c r="L11" s="280" t="str">
        <f>SUSTENTABILIDADE!K4</f>
        <v>NÃO</v>
      </c>
      <c r="M11" s="280" t="str">
        <f>SUSTENTABILIDADE!L4</f>
        <v>SIM</v>
      </c>
      <c r="N11" s="280" t="str">
        <f>SUSTENTABILIDADE!M4</f>
        <v>NÃO</v>
      </c>
      <c r="O11" s="280" t="str">
        <f>SUSTENTABILIDADE!N4</f>
        <v>SIM</v>
      </c>
      <c r="P11" s="280" t="str">
        <f>SUSTENTABILIDADE!O4</f>
        <v>NÃO</v>
      </c>
      <c r="Q11" s="361"/>
      <c r="R11" s="361"/>
      <c r="S11" s="169"/>
      <c r="T11" s="169"/>
      <c r="U11" s="169"/>
      <c r="V11" s="169"/>
      <c r="W11" s="169"/>
      <c r="X11" s="169"/>
      <c r="Y11" s="169"/>
      <c r="Z11" s="169"/>
      <c r="AA11" s="169"/>
      <c r="AB11" s="324"/>
      <c r="AC11" s="324"/>
    </row>
    <row r="12" spans="1:29" s="23" customFormat="1" ht="21.95" customHeight="1" thickBot="1" x14ac:dyDescent="0.3">
      <c r="A12" s="428" t="s">
        <v>53</v>
      </c>
      <c r="B12" s="170"/>
      <c r="C12" s="170"/>
      <c r="D12" s="319" t="s">
        <v>1</v>
      </c>
      <c r="E12" s="372">
        <f>SUSTENTABILIDADE!D16</f>
        <v>0</v>
      </c>
      <c r="F12" s="372">
        <f>SUSTENTABILIDADE!E16</f>
        <v>0</v>
      </c>
      <c r="G12" s="372">
        <f>SUSTENTABILIDADE!F16</f>
        <v>0</v>
      </c>
      <c r="H12" s="372">
        <f>SUSTENTABILIDADE!G16</f>
        <v>0</v>
      </c>
      <c r="I12" s="372">
        <f>SUSTENTABILIDADE!H16</f>
        <v>0</v>
      </c>
      <c r="J12" s="372">
        <f>SUSTENTABILIDADE!I16</f>
        <v>0</v>
      </c>
      <c r="K12" s="372">
        <f>SUSTENTABILIDADE!J16</f>
        <v>0</v>
      </c>
      <c r="L12" s="372">
        <f>SUSTENTABILIDADE!K16</f>
        <v>0</v>
      </c>
      <c r="M12" s="372">
        <f>SUSTENTABILIDADE!L16</f>
        <v>0</v>
      </c>
      <c r="N12" s="372">
        <f>SUSTENTABILIDADE!M16</f>
        <v>0</v>
      </c>
      <c r="O12" s="372">
        <f>SUSTENTABILIDADE!N16</f>
        <v>0</v>
      </c>
      <c r="P12" s="373">
        <f>SUSTENTABILIDADE!O16</f>
        <v>0</v>
      </c>
      <c r="Q12" s="361"/>
      <c r="R12" s="361"/>
      <c r="S12" s="169"/>
      <c r="T12" s="742" t="s">
        <v>388</v>
      </c>
      <c r="U12" s="748"/>
      <c r="V12" s="742" t="s">
        <v>418</v>
      </c>
      <c r="W12" s="743"/>
      <c r="X12" s="743"/>
      <c r="Y12" s="743"/>
      <c r="Z12" s="743" t="s">
        <v>389</v>
      </c>
      <c r="AA12" s="748"/>
      <c r="AB12" s="324"/>
      <c r="AC12" s="324"/>
    </row>
    <row r="13" spans="1:29" s="23" customFormat="1" ht="21.95" customHeight="1" thickBot="1" x14ac:dyDescent="0.3">
      <c r="A13" s="36"/>
      <c r="B13" s="170"/>
      <c r="C13" s="170"/>
      <c r="D13" s="317" t="s">
        <v>379</v>
      </c>
      <c r="E13" s="366" t="e">
        <f>(E12*100)/B33</f>
        <v>#DIV/0!</v>
      </c>
      <c r="F13" s="366" t="e">
        <f>(F12*100)/B33</f>
        <v>#DIV/0!</v>
      </c>
      <c r="G13" s="366" t="e">
        <f>(G12*100)/B33</f>
        <v>#DIV/0!</v>
      </c>
      <c r="H13" s="366" t="e">
        <f>(H12*100)/B33</f>
        <v>#DIV/0!</v>
      </c>
      <c r="I13" s="366" t="e">
        <f>(I12*100)/B33</f>
        <v>#DIV/0!</v>
      </c>
      <c r="J13" s="366" t="e">
        <f>(J12*100)/B33</f>
        <v>#DIV/0!</v>
      </c>
      <c r="K13" s="366" t="e">
        <f>(K12*100)/B33</f>
        <v>#DIV/0!</v>
      </c>
      <c r="L13" s="366" t="e">
        <f>(L12*100)/B33</f>
        <v>#DIV/0!</v>
      </c>
      <c r="M13" s="366" t="e">
        <f>(M12*100)/B33</f>
        <v>#DIV/0!</v>
      </c>
      <c r="N13" s="366" t="e">
        <f>(N12*100)/B33</f>
        <v>#DIV/0!</v>
      </c>
      <c r="O13" s="366" t="e">
        <f>(O12*100)/B33</f>
        <v>#DIV/0!</v>
      </c>
      <c r="P13" s="374" t="e">
        <f>(P12*100)/B33</f>
        <v>#DIV/0!</v>
      </c>
      <c r="Q13" s="361"/>
      <c r="R13" s="361"/>
      <c r="S13" s="169"/>
      <c r="T13" s="758" t="s">
        <v>328</v>
      </c>
      <c r="U13" s="760"/>
      <c r="V13" s="758" t="s">
        <v>263</v>
      </c>
      <c r="W13" s="759"/>
      <c r="X13" s="759"/>
      <c r="Y13" s="760"/>
      <c r="Z13" s="751" t="s">
        <v>268</v>
      </c>
      <c r="AA13" s="752"/>
      <c r="AB13" s="324"/>
      <c r="AC13" s="324"/>
    </row>
    <row r="14" spans="1:29" s="336" customFormat="1" ht="15.75" hidden="1" thickBot="1" x14ac:dyDescent="0.3">
      <c r="A14" s="340"/>
      <c r="B14" s="339"/>
      <c r="C14" s="339"/>
      <c r="D14" s="352"/>
      <c r="E14" s="375" t="e">
        <f>(E13+F13+G13+H13)</f>
        <v>#DIV/0!</v>
      </c>
      <c r="F14" s="376"/>
      <c r="G14" s="376"/>
      <c r="H14" s="377"/>
      <c r="I14" s="375" t="e">
        <f>(I13+J13+K13+L13)</f>
        <v>#DIV/0!</v>
      </c>
      <c r="J14" s="376"/>
      <c r="K14" s="376"/>
      <c r="L14" s="377"/>
      <c r="M14" s="375" t="e">
        <f>(M13+N13)</f>
        <v>#DIV/0!</v>
      </c>
      <c r="N14" s="377"/>
      <c r="O14" s="375" t="e">
        <f>(O13+P13)</f>
        <v>#DIV/0!</v>
      </c>
      <c r="P14" s="377"/>
      <c r="Q14" s="378"/>
      <c r="R14" s="378"/>
      <c r="S14" s="338"/>
      <c r="AB14" s="338"/>
      <c r="AC14" s="338"/>
    </row>
    <row r="15" spans="1:29" s="23" customFormat="1" ht="30.75" customHeight="1" thickBot="1" x14ac:dyDescent="0.3">
      <c r="A15" s="323" t="s">
        <v>51</v>
      </c>
      <c r="B15" s="170"/>
      <c r="C15" s="170"/>
      <c r="D15" s="685" t="str">
        <f>SUSTENTABILIDADE!C5</f>
        <v>Legenda: OL - óleo; RO - resíduos orgânicos; RP - reciclagem própria// PL - plantas; ARV - árvores</v>
      </c>
      <c r="E15" s="686"/>
      <c r="F15" s="686"/>
      <c r="G15" s="686"/>
      <c r="H15" s="686"/>
      <c r="I15" s="686"/>
      <c r="J15" s="686"/>
      <c r="K15" s="686"/>
      <c r="L15" s="686"/>
      <c r="M15" s="686"/>
      <c r="N15" s="686"/>
      <c r="O15" s="686"/>
      <c r="P15" s="687"/>
      <c r="Q15" s="361"/>
      <c r="R15" s="361"/>
      <c r="S15" s="169"/>
      <c r="T15" s="761" t="s">
        <v>227</v>
      </c>
      <c r="U15" s="763"/>
      <c r="V15" s="761" t="s">
        <v>264</v>
      </c>
      <c r="W15" s="762"/>
      <c r="X15" s="762"/>
      <c r="Y15" s="763"/>
      <c r="Z15" s="753" t="s">
        <v>269</v>
      </c>
      <c r="AA15" s="754"/>
      <c r="AB15" s="324"/>
      <c r="AC15" s="324"/>
    </row>
    <row r="16" spans="1:29" s="23" customFormat="1" ht="21" customHeight="1" thickBot="1" x14ac:dyDescent="0.3">
      <c r="A16" s="170"/>
      <c r="B16" s="170"/>
      <c r="C16" s="170"/>
      <c r="D16" s="706" t="s">
        <v>351</v>
      </c>
      <c r="E16" s="707"/>
      <c r="F16" s="707"/>
      <c r="G16" s="707"/>
      <c r="H16" s="708"/>
      <c r="I16" s="688" t="e">
        <f>IF(I18&lt;0,"RESPOSTAS EM BRANCO",IF((I18&gt;0),"MAIS DE UMA RESPOSTA POR FUNCIONÁRIO",IF((I18=0),"NÃO POSSUI ERROS DE PREENCHIMENTO")))</f>
        <v>#DIV/0!</v>
      </c>
      <c r="J16" s="689"/>
      <c r="K16" s="689"/>
      <c r="L16" s="689"/>
      <c r="M16" s="689"/>
      <c r="N16" s="689"/>
      <c r="O16" s="689"/>
      <c r="P16" s="690"/>
      <c r="Q16" s="361"/>
      <c r="R16" s="361"/>
      <c r="S16" s="169"/>
      <c r="T16" s="764" t="s">
        <v>329</v>
      </c>
      <c r="U16" s="766"/>
      <c r="V16" s="764" t="s">
        <v>265</v>
      </c>
      <c r="W16" s="765"/>
      <c r="X16" s="765"/>
      <c r="Y16" s="766"/>
      <c r="Z16" s="755" t="s">
        <v>270</v>
      </c>
      <c r="AA16" s="733"/>
      <c r="AB16" s="324"/>
      <c r="AC16" s="324"/>
    </row>
    <row r="17" spans="1:29" s="23" customFormat="1" ht="19.5" customHeight="1" thickBot="1" x14ac:dyDescent="0.3">
      <c r="A17" s="429" t="str">
        <f>'Pág Inicial'!A16</f>
        <v>ESCOLA MODELO</v>
      </c>
      <c r="B17" s="170"/>
      <c r="C17" s="170"/>
      <c r="D17" s="359"/>
      <c r="E17" s="359"/>
      <c r="F17" s="359"/>
      <c r="G17" s="359"/>
      <c r="H17" s="359"/>
      <c r="I17" s="359"/>
      <c r="J17" s="359"/>
      <c r="K17" s="370"/>
      <c r="L17" s="370"/>
      <c r="M17" s="370"/>
      <c r="N17" s="370"/>
      <c r="O17" s="370"/>
      <c r="P17" s="370"/>
      <c r="Q17" s="361"/>
      <c r="R17" s="361"/>
      <c r="S17" s="169"/>
      <c r="T17" s="789" t="s">
        <v>330</v>
      </c>
      <c r="U17" s="791"/>
      <c r="V17" s="789" t="s">
        <v>266</v>
      </c>
      <c r="W17" s="790"/>
      <c r="X17" s="790"/>
      <c r="Y17" s="791"/>
      <c r="Z17" s="749" t="s">
        <v>271</v>
      </c>
      <c r="AA17" s="735"/>
      <c r="AB17" s="324"/>
      <c r="AC17" s="324"/>
    </row>
    <row r="18" spans="1:29" s="393" customFormat="1" ht="15.75" hidden="1" thickBot="1" x14ac:dyDescent="0.3">
      <c r="A18" s="394"/>
      <c r="B18" s="395"/>
      <c r="C18" s="342"/>
      <c r="D18" s="342"/>
      <c r="E18" s="342"/>
      <c r="F18" s="342"/>
      <c r="G18" s="342"/>
      <c r="H18" s="342"/>
      <c r="I18" s="397" t="e">
        <f>(E14+I14+M14+O14)-400</f>
        <v>#DIV/0!</v>
      </c>
      <c r="J18" s="341"/>
      <c r="K18" s="341"/>
      <c r="L18" s="341"/>
      <c r="N18" s="397"/>
      <c r="O18" s="396"/>
      <c r="P18" s="396"/>
      <c r="Q18" s="396"/>
      <c r="S18" s="396"/>
      <c r="T18" s="396"/>
      <c r="U18" s="396"/>
      <c r="V18" s="396"/>
      <c r="W18" s="396"/>
      <c r="X18" s="396"/>
      <c r="Y18" s="396"/>
      <c r="Z18" s="341"/>
      <c r="AA18" s="341"/>
    </row>
    <row r="19" spans="1:29" s="393" customFormat="1" ht="28.5" customHeight="1" thickBot="1" x14ac:dyDescent="0.3">
      <c r="A19" s="25"/>
      <c r="B19" s="25"/>
      <c r="C19" s="389"/>
      <c r="D19" s="350"/>
      <c r="E19" s="713" t="str">
        <f>SUSTENTABILIDADE!D23</f>
        <v>ILUMINAÇÃO</v>
      </c>
      <c r="F19" s="714"/>
      <c r="G19" s="714"/>
      <c r="H19" s="717"/>
      <c r="I19" s="713" t="str">
        <f>SUSTENTABILIDADE!H23</f>
        <v>ACESSIBILIDADE</v>
      </c>
      <c r="J19" s="714"/>
      <c r="K19" s="714"/>
      <c r="L19" s="715"/>
      <c r="M19" s="716" t="str">
        <f>SUSTENTABILIDADE!L23</f>
        <v>CONFORTO ACÚSTICO</v>
      </c>
      <c r="N19" s="717"/>
      <c r="O19" s="713" t="str">
        <f>SUSTENTABILIDADE!N23</f>
        <v>CONFORTO TÉRMICO</v>
      </c>
      <c r="P19" s="714"/>
      <c r="Q19" s="717"/>
      <c r="R19" s="390"/>
      <c r="S19" s="391"/>
      <c r="T19" s="787" t="s">
        <v>331</v>
      </c>
      <c r="U19" s="788"/>
      <c r="V19" s="787" t="s">
        <v>267</v>
      </c>
      <c r="W19" s="792"/>
      <c r="X19" s="792"/>
      <c r="Y19" s="788"/>
      <c r="Z19" s="750" t="s">
        <v>272</v>
      </c>
      <c r="AA19" s="737"/>
      <c r="AB19" s="392"/>
      <c r="AC19" s="392"/>
    </row>
    <row r="20" spans="1:29" s="23" customFormat="1" ht="26.25" customHeight="1" thickBot="1" x14ac:dyDescent="0.3">
      <c r="A20" s="432" t="s">
        <v>406</v>
      </c>
      <c r="B20" s="25"/>
      <c r="C20" s="25"/>
      <c r="D20" s="353"/>
      <c r="E20" s="417" t="str">
        <f>SUSTENTABILIDADE!D24</f>
        <v>BRANCA</v>
      </c>
      <c r="F20" s="272" t="str">
        <f>SUSTENTABILIDADE!E24</f>
        <v>LED</v>
      </c>
      <c r="G20" s="272" t="str">
        <f>SUSTENTABILIDADE!F24</f>
        <v>RN</v>
      </c>
      <c r="H20" s="417" t="str">
        <f>SUSTENTABILIDADE!G24</f>
        <v>OUTRO</v>
      </c>
      <c r="I20" s="272" t="str">
        <f>SUSTENTABILIDADE!H24</f>
        <v>PL</v>
      </c>
      <c r="J20" s="272" t="str">
        <f>SUSTENTABILIDADE!I24</f>
        <v>RPI</v>
      </c>
      <c r="K20" s="272" t="str">
        <f>SUSTENTABILIDADE!J24</f>
        <v>PT/PB</v>
      </c>
      <c r="L20" s="272" t="str">
        <f>SUSTENTABILIDADE!K24</f>
        <v>NÃO</v>
      </c>
      <c r="M20" s="272" t="str">
        <f>SUSTENTABILIDADE!L24</f>
        <v>SIM</v>
      </c>
      <c r="N20" s="272" t="str">
        <f>SUSTENTABILIDADE!M24</f>
        <v>NÃO</v>
      </c>
      <c r="O20" s="272" t="str">
        <f>SUSTENTABILIDADE!N24</f>
        <v>VN</v>
      </c>
      <c r="P20" s="272" t="str">
        <f>SUSTENTABILIDADE!O24</f>
        <v>VA</v>
      </c>
      <c r="Q20" s="272" t="str">
        <f>SUSTENTABILIDADE!P24</f>
        <v>CL</v>
      </c>
      <c r="R20" s="361"/>
      <c r="S20" s="169"/>
      <c r="T20" s="169"/>
      <c r="U20" s="169"/>
      <c r="V20" s="169"/>
      <c r="W20" s="169"/>
      <c r="X20" s="169"/>
      <c r="Y20" s="169"/>
      <c r="Z20" s="169"/>
      <c r="AA20" s="169"/>
      <c r="AB20" s="324"/>
      <c r="AC20" s="324"/>
    </row>
    <row r="21" spans="1:29" s="23" customFormat="1" ht="21.95" customHeight="1" thickBot="1" x14ac:dyDescent="0.3">
      <c r="A21" s="25"/>
      <c r="B21" s="25"/>
      <c r="C21" s="25"/>
      <c r="D21" s="320" t="s">
        <v>1</v>
      </c>
      <c r="E21" s="379">
        <f>SUSTENTABILIDADE!D36</f>
        <v>0</v>
      </c>
      <c r="F21" s="372">
        <f>SUSTENTABILIDADE!E36</f>
        <v>0</v>
      </c>
      <c r="G21" s="372">
        <f>SUSTENTABILIDADE!F36</f>
        <v>0</v>
      </c>
      <c r="H21" s="372">
        <f>SUSTENTABILIDADE!G36</f>
        <v>0</v>
      </c>
      <c r="I21" s="372">
        <f>SUSTENTABILIDADE!H36</f>
        <v>0</v>
      </c>
      <c r="J21" s="372">
        <f>SUSTENTABILIDADE!I36</f>
        <v>0</v>
      </c>
      <c r="K21" s="372">
        <f>SUSTENTABILIDADE!J36</f>
        <v>0</v>
      </c>
      <c r="L21" s="372">
        <f>SUSTENTABILIDADE!K36</f>
        <v>0</v>
      </c>
      <c r="M21" s="372">
        <f>SUSTENTABILIDADE!L36</f>
        <v>0</v>
      </c>
      <c r="N21" s="372">
        <f>SUSTENTABILIDADE!M36</f>
        <v>0</v>
      </c>
      <c r="O21" s="372">
        <f>SUSTENTABILIDADE!N36</f>
        <v>0</v>
      </c>
      <c r="P21" s="372">
        <f>SUSTENTABILIDADE!O36</f>
        <v>0</v>
      </c>
      <c r="Q21" s="373">
        <f>SUSTENTABILIDADE!P36</f>
        <v>0</v>
      </c>
      <c r="R21" s="361"/>
      <c r="S21" s="169"/>
      <c r="T21" s="169"/>
      <c r="U21" s="169"/>
      <c r="V21" s="169"/>
      <c r="W21" s="169"/>
      <c r="X21" s="169"/>
      <c r="Y21" s="169"/>
      <c r="Z21" s="169"/>
      <c r="AA21" s="169"/>
      <c r="AB21" s="324"/>
      <c r="AC21" s="324"/>
    </row>
    <row r="22" spans="1:29" s="23" customFormat="1" ht="25.5" customHeight="1" thickBot="1" x14ac:dyDescent="0.3">
      <c r="A22" s="25"/>
      <c r="B22" s="25"/>
      <c r="C22" s="25"/>
      <c r="D22" s="317" t="s">
        <v>379</v>
      </c>
      <c r="E22" s="366" t="e">
        <f>(E21*100)/B33</f>
        <v>#DIV/0!</v>
      </c>
      <c r="F22" s="366" t="e">
        <f>(F21*100)/B33</f>
        <v>#DIV/0!</v>
      </c>
      <c r="G22" s="366" t="e">
        <f>(G21*100)/B33</f>
        <v>#DIV/0!</v>
      </c>
      <c r="H22" s="366" t="e">
        <f>(H21*100)/B33</f>
        <v>#DIV/0!</v>
      </c>
      <c r="I22" s="366" t="e">
        <f>(I21*100)/B33</f>
        <v>#DIV/0!</v>
      </c>
      <c r="J22" s="366" t="e">
        <f>(J21*100)/B33</f>
        <v>#DIV/0!</v>
      </c>
      <c r="K22" s="366" t="e">
        <f>(K21*100)/B33</f>
        <v>#DIV/0!</v>
      </c>
      <c r="L22" s="366" t="e">
        <f>(L21*100)/B33</f>
        <v>#DIV/0!</v>
      </c>
      <c r="M22" s="366" t="e">
        <f>(M21*100)/B33</f>
        <v>#DIV/0!</v>
      </c>
      <c r="N22" s="366" t="e">
        <f>(N21*100)/B33</f>
        <v>#DIV/0!</v>
      </c>
      <c r="O22" s="366" t="e">
        <f>(O21*100)/B33</f>
        <v>#DIV/0!</v>
      </c>
      <c r="P22" s="366" t="e">
        <f>(P21*100)/B33</f>
        <v>#DIV/0!</v>
      </c>
      <c r="Q22" s="374" t="e">
        <f>(Q21*100)/B33</f>
        <v>#DIV/0!</v>
      </c>
      <c r="R22" s="361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324"/>
    </row>
    <row r="23" spans="1:29" s="336" customFormat="1" ht="15.75" hidden="1" thickBot="1" x14ac:dyDescent="0.3">
      <c r="A23" s="25"/>
      <c r="B23" s="25"/>
      <c r="D23" s="354"/>
      <c r="E23" s="691" t="e">
        <f>(E22+F22+G22+H22)</f>
        <v>#DIV/0!</v>
      </c>
      <c r="F23" s="692"/>
      <c r="G23" s="692"/>
      <c r="H23" s="693"/>
      <c r="I23" s="691" t="e">
        <f>(I22+J22+K22+L22)</f>
        <v>#DIV/0!</v>
      </c>
      <c r="J23" s="692"/>
      <c r="K23" s="692"/>
      <c r="L23" s="693"/>
      <c r="M23" s="691" t="e">
        <f>(M22+N22)</f>
        <v>#DIV/0!</v>
      </c>
      <c r="N23" s="693"/>
      <c r="O23" s="691" t="e">
        <f>(O22+P22+Q22)</f>
        <v>#DIV/0!</v>
      </c>
      <c r="P23" s="692"/>
      <c r="Q23" s="693"/>
      <c r="R23" s="37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</row>
    <row r="24" spans="1:29" s="23" customFormat="1" ht="26.25" customHeight="1" thickBot="1" x14ac:dyDescent="0.3">
      <c r="A24" s="25"/>
      <c r="B24" s="25"/>
      <c r="C24" s="25"/>
      <c r="D24" s="685" t="str">
        <f>SUSTENTABILIDADE!C25</f>
        <v>Legenda: RN - renovável// PL - portas largas; RPI - rampas com pouca inclinação; PT - pisos táteis; PB - placas em Braile// VN - ventilação Natural; VA - ventilação artificial; CL - climatização</v>
      </c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7"/>
      <c r="R24" s="361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324"/>
    </row>
    <row r="25" spans="1:29" s="393" customFormat="1" ht="21.95" customHeight="1" thickBot="1" x14ac:dyDescent="0.3">
      <c r="A25" s="25"/>
      <c r="B25" s="25"/>
      <c r="C25" s="401"/>
      <c r="D25" s="706" t="s">
        <v>351</v>
      </c>
      <c r="E25" s="707"/>
      <c r="F25" s="707"/>
      <c r="G25" s="707"/>
      <c r="H25" s="708"/>
      <c r="I25" s="688" t="e">
        <f>IF(I26&lt;0,"RESPOSTAS EM BRANCO",IF((I26&gt;0),"MAIS DE UMA RESPOSTA POR FUNCIONÁRIO",IF((I26=0),"NÃO POSSUI ERROS DE PREENCHIMENTO")))</f>
        <v>#DIV/0!</v>
      </c>
      <c r="J25" s="689"/>
      <c r="K25" s="689"/>
      <c r="L25" s="689"/>
      <c r="M25" s="689"/>
      <c r="N25" s="689"/>
      <c r="O25" s="689"/>
      <c r="P25" s="689"/>
      <c r="Q25" s="690"/>
      <c r="R25" s="390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2"/>
    </row>
    <row r="26" spans="1:29" s="393" customFormat="1" hidden="1" x14ac:dyDescent="0.25">
      <c r="A26" s="25"/>
      <c r="B26" s="25"/>
      <c r="C26" s="342"/>
      <c r="D26" s="342"/>
      <c r="E26" s="342"/>
      <c r="F26" s="342"/>
      <c r="G26" s="342"/>
      <c r="H26" s="342"/>
      <c r="I26" s="402" t="e">
        <f>(E23+I23+M23+O23)-400</f>
        <v>#DIV/0!</v>
      </c>
      <c r="J26" s="341"/>
      <c r="K26" s="341"/>
      <c r="L26" s="341"/>
      <c r="N26" s="402"/>
      <c r="O26" s="396"/>
      <c r="P26" s="396"/>
      <c r="Q26" s="396"/>
      <c r="S26" s="396"/>
      <c r="T26" s="396"/>
      <c r="U26" s="396"/>
      <c r="V26" s="396"/>
      <c r="W26" s="396"/>
      <c r="X26" s="396"/>
      <c r="Y26" s="396"/>
      <c r="Z26" s="341"/>
      <c r="AA26" s="341"/>
    </row>
    <row r="27" spans="1:29" s="23" customForma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361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324"/>
    </row>
    <row r="28" spans="1:29" s="23" customFormat="1" ht="21.95" customHeight="1" thickBot="1" x14ac:dyDescent="0.3">
      <c r="A28" s="25"/>
      <c r="B28" s="25"/>
      <c r="C28" s="25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324"/>
    </row>
    <row r="29" spans="1:29" s="393" customFormat="1" ht="15.75" hidden="1" thickBot="1" x14ac:dyDescent="0.3">
      <c r="A29" s="394"/>
      <c r="B29" s="395"/>
      <c r="C29" s="342"/>
      <c r="D29" s="342"/>
      <c r="E29" s="342"/>
      <c r="F29" s="342"/>
      <c r="G29" s="342"/>
      <c r="H29" s="342"/>
      <c r="I29" s="397" t="e">
        <f>(E30+I30+M30+O30)-400</f>
        <v>#DIV/0!</v>
      </c>
      <c r="J29" s="341"/>
      <c r="K29" s="341"/>
      <c r="L29" s="341"/>
      <c r="N29" s="397"/>
      <c r="O29" s="396"/>
      <c r="P29" s="396"/>
      <c r="Q29" s="396"/>
      <c r="S29" s="396"/>
      <c r="T29" s="396"/>
      <c r="U29" s="396"/>
      <c r="V29" s="396"/>
      <c r="W29" s="396"/>
      <c r="X29" s="396"/>
      <c r="Y29" s="396"/>
      <c r="Z29" s="341"/>
      <c r="AA29" s="341"/>
    </row>
    <row r="30" spans="1:29" s="336" customFormat="1" ht="15.75" hidden="1" thickBot="1" x14ac:dyDescent="0.3">
      <c r="D30" s="355"/>
      <c r="E30" s="691" t="e">
        <f>(E35+F35+G35+H35)</f>
        <v>#DIV/0!</v>
      </c>
      <c r="F30" s="692"/>
      <c r="G30" s="692"/>
      <c r="H30" s="693"/>
      <c r="I30" s="691" t="e">
        <f>(I35+J35+K35+L35)</f>
        <v>#DIV/0!</v>
      </c>
      <c r="J30" s="692"/>
      <c r="K30" s="692"/>
      <c r="L30" s="693"/>
      <c r="M30" s="691" t="e">
        <f>(M35+N35)</f>
        <v>#DIV/0!</v>
      </c>
      <c r="N30" s="692"/>
      <c r="O30" s="691" t="e">
        <f>(O35+P35+Q35+R35)</f>
        <v>#DIV/0!</v>
      </c>
      <c r="P30" s="692"/>
      <c r="Q30" s="692"/>
      <c r="R30" s="693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</row>
    <row r="31" spans="1:29" s="23" customFormat="1" ht="27.75" customHeight="1" thickBot="1" x14ac:dyDescent="0.3">
      <c r="A31" s="769" t="s">
        <v>376</v>
      </c>
      <c r="B31" s="770"/>
      <c r="C31" s="25"/>
      <c r="D31" s="533" t="s">
        <v>425</v>
      </c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723" t="e">
        <f>IF(SUSTENTABILIDADE!R60&lt;=7.999,"S - SATISFATÓRIO",IF((SUSTENTABILIDADE!R60&gt;=9)*OR(SUSTENTABILIDADE!R60&lt;=15.99),"R - REGULAR",IF((SUSTENTABILIDADE!R60&gt;=16),"I - INSATISFATÓRIO")))</f>
        <v>#DIV/0!</v>
      </c>
      <c r="P31" s="723"/>
      <c r="Q31" s="723"/>
      <c r="R31" s="724"/>
      <c r="S31" s="169"/>
      <c r="T31" s="782" t="s">
        <v>374</v>
      </c>
      <c r="U31" s="783"/>
      <c r="V31" s="783"/>
      <c r="W31" s="783"/>
      <c r="X31" s="783"/>
      <c r="Y31" s="783"/>
      <c r="Z31" s="783"/>
      <c r="AA31" s="784"/>
      <c r="AB31" s="169"/>
      <c r="AC31" s="332"/>
    </row>
    <row r="32" spans="1:29" s="23" customFormat="1" ht="35.25" customHeight="1" thickBot="1" x14ac:dyDescent="0.3">
      <c r="A32" s="346" t="s">
        <v>377</v>
      </c>
      <c r="B32" s="344">
        <f>SOCIODEMOGRÁFICA!B19</f>
        <v>0</v>
      </c>
      <c r="C32" s="127"/>
      <c r="D32" s="350"/>
      <c r="E32" s="713" t="str">
        <f>SUSTENTABILIDADE!D43</f>
        <v>RELAÇÕES HUMANAS</v>
      </c>
      <c r="F32" s="714"/>
      <c r="G32" s="714"/>
      <c r="H32" s="715"/>
      <c r="I32" s="716" t="str">
        <f>SUSTENTABILIDADE!H43</f>
        <v>CONDIÇÕES DE TRABALHO</v>
      </c>
      <c r="J32" s="714"/>
      <c r="K32" s="714"/>
      <c r="L32" s="714"/>
      <c r="M32" s="713" t="str">
        <f>SUSTENTABILIDADE!L43</f>
        <v>ESCOLHA PROFISSONAL</v>
      </c>
      <c r="N32" s="717"/>
      <c r="O32" s="713" t="str">
        <f>SUSTENTABILIDADE!N43</f>
        <v>ADAPTAÇÃO DO CARDÁPIO (substituição de gêneros)</v>
      </c>
      <c r="P32" s="714"/>
      <c r="Q32" s="714"/>
      <c r="R32" s="717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332"/>
    </row>
    <row r="33" spans="1:29" ht="39" customHeight="1" thickBot="1" x14ac:dyDescent="0.3">
      <c r="A33" s="345" t="s">
        <v>378</v>
      </c>
      <c r="B33" s="343">
        <f>SOCIODEMOGRÁFICA!B20</f>
        <v>0</v>
      </c>
      <c r="C33" s="127"/>
      <c r="D33" s="351"/>
      <c r="E33" s="272" t="str">
        <f>SUSTENTABILIDADE!D44</f>
        <v>EX</v>
      </c>
      <c r="F33" s="272" t="str">
        <f>SUSTENTABILIDADE!E44</f>
        <v>B</v>
      </c>
      <c r="G33" s="272" t="str">
        <f>SUSTENTABILIDADE!F44</f>
        <v>R</v>
      </c>
      <c r="H33" s="272" t="str">
        <f>SUSTENTABILIDADE!G44</f>
        <v>PÉS</v>
      </c>
      <c r="I33" s="272" t="str">
        <f>SUSTENTABILIDADE!H44</f>
        <v>EX</v>
      </c>
      <c r="J33" s="272" t="str">
        <f>SUSTENTABILIDADE!I44</f>
        <v>B</v>
      </c>
      <c r="K33" s="272" t="str">
        <f>SUSTENTABILIDADE!J44</f>
        <v>R</v>
      </c>
      <c r="L33" s="272" t="str">
        <f>SUSTENTABILIDADE!K44</f>
        <v>PES</v>
      </c>
      <c r="M33" s="417" t="str">
        <f>SUSTENTABILIDADE!L44</f>
        <v>FALTA DE OPÇÃO</v>
      </c>
      <c r="N33" s="272" t="str">
        <f>SUSTENTABILIDADE!M44</f>
        <v>OPÇÃO</v>
      </c>
      <c r="O33" s="272" t="str">
        <f>SUSTENTABILIDADE!N44</f>
        <v>DIR</v>
      </c>
      <c r="P33" s="272" t="str">
        <f>SUSTENTABILIDADE!O44</f>
        <v>MAN</v>
      </c>
      <c r="Q33" s="417" t="str">
        <f>SUSTENTABILIDADE!P44</f>
        <v>AMBOS</v>
      </c>
      <c r="R33" s="417" t="str">
        <f>SUSTENTABILIDADE!Q44</f>
        <v>NÃO</v>
      </c>
      <c r="S33" s="169"/>
      <c r="T33" s="709" t="s">
        <v>404</v>
      </c>
      <c r="U33" s="710"/>
      <c r="V33" s="711"/>
      <c r="W33" s="169"/>
      <c r="X33" s="169"/>
      <c r="Y33" s="709" t="s">
        <v>405</v>
      </c>
      <c r="Z33" s="710"/>
      <c r="AA33" s="711"/>
      <c r="AB33" s="169"/>
      <c r="AC33" s="332"/>
    </row>
    <row r="34" spans="1:29" s="23" customFormat="1" ht="24.95" customHeight="1" thickBot="1" x14ac:dyDescent="0.3">
      <c r="A34" s="414" t="e">
        <f>(B33*100)/B32</f>
        <v>#DIV/0!</v>
      </c>
      <c r="B34" s="415" t="s">
        <v>0</v>
      </c>
      <c r="C34" s="127"/>
      <c r="D34" s="319" t="s">
        <v>1</v>
      </c>
      <c r="E34" s="372">
        <f>SUSTENTABILIDADE!D56</f>
        <v>0</v>
      </c>
      <c r="F34" s="372">
        <f>SUSTENTABILIDADE!E56</f>
        <v>0</v>
      </c>
      <c r="G34" s="372">
        <f>SUSTENTABILIDADE!F56</f>
        <v>0</v>
      </c>
      <c r="H34" s="372">
        <f>SUSTENTABILIDADE!G56</f>
        <v>0</v>
      </c>
      <c r="I34" s="372">
        <f>SUSTENTABILIDADE!H56</f>
        <v>0</v>
      </c>
      <c r="J34" s="372">
        <f>SUSTENTABILIDADE!I56</f>
        <v>0</v>
      </c>
      <c r="K34" s="372">
        <f>SUSTENTABILIDADE!J56</f>
        <v>0</v>
      </c>
      <c r="L34" s="372">
        <f>SUSTENTABILIDADE!K56</f>
        <v>0</v>
      </c>
      <c r="M34" s="372">
        <f>SUSTENTABILIDADE!L56</f>
        <v>0</v>
      </c>
      <c r="N34" s="372">
        <f>SUSTENTABILIDADE!M56</f>
        <v>0</v>
      </c>
      <c r="O34" s="372">
        <f>SUSTENTABILIDADE!N56</f>
        <v>0</v>
      </c>
      <c r="P34" s="372">
        <f>SUSTENTABILIDADE!O56</f>
        <v>0</v>
      </c>
      <c r="Q34" s="372">
        <f>SUSTENTABILIDADE!P56</f>
        <v>0</v>
      </c>
      <c r="R34" s="373">
        <f>SUSTENTABILIDADE!Q56</f>
        <v>0</v>
      </c>
      <c r="S34" s="169"/>
      <c r="T34" s="171"/>
      <c r="U34" s="171"/>
      <c r="V34" s="172"/>
      <c r="W34" s="169"/>
      <c r="X34" s="169"/>
      <c r="Y34" s="171"/>
      <c r="Z34" s="171"/>
      <c r="AA34" s="172"/>
      <c r="AB34" s="169"/>
      <c r="AC34" s="332"/>
    </row>
    <row r="35" spans="1:29" s="23" customFormat="1" ht="24.95" customHeight="1" thickBot="1" x14ac:dyDescent="0.3">
      <c r="A35" s="25"/>
      <c r="B35" s="127"/>
      <c r="C35" s="127"/>
      <c r="D35" s="356" t="s">
        <v>379</v>
      </c>
      <c r="E35" s="366" t="e">
        <f>(E34*100)/B33</f>
        <v>#DIV/0!</v>
      </c>
      <c r="F35" s="366" t="e">
        <f>(F34*100)/B33</f>
        <v>#DIV/0!</v>
      </c>
      <c r="G35" s="366" t="e">
        <f>(G34*100)/B33</f>
        <v>#DIV/0!</v>
      </c>
      <c r="H35" s="366" t="e">
        <f>(H34*100)/B33</f>
        <v>#DIV/0!</v>
      </c>
      <c r="I35" s="366" t="e">
        <f>(I34*100)/B33</f>
        <v>#DIV/0!</v>
      </c>
      <c r="J35" s="366" t="e">
        <f>(J34*100)/B33</f>
        <v>#DIV/0!</v>
      </c>
      <c r="K35" s="366" t="e">
        <f>(K34*100)/B33</f>
        <v>#DIV/0!</v>
      </c>
      <c r="L35" s="366" t="e">
        <f>(L34*100)/B33</f>
        <v>#DIV/0!</v>
      </c>
      <c r="M35" s="366" t="e">
        <f>(M34*100)/B33</f>
        <v>#DIV/0!</v>
      </c>
      <c r="N35" s="366" t="e">
        <f>(N34*100)/B33</f>
        <v>#DIV/0!</v>
      </c>
      <c r="O35" s="366" t="e">
        <f>(O34*100)/B33</f>
        <v>#DIV/0!</v>
      </c>
      <c r="P35" s="366" t="e">
        <f>(P34*100)/B33</f>
        <v>#DIV/0!</v>
      </c>
      <c r="Q35" s="366" t="e">
        <f>(Q34*100)/B33</f>
        <v>#DIV/0!</v>
      </c>
      <c r="R35" s="374" t="e">
        <f>(R34*100)/B33</f>
        <v>#DIV/0!</v>
      </c>
      <c r="S35" s="169"/>
      <c r="T35" s="694" t="e">
        <f>IF(U37=0,"SEM PREENCHIMENTO",IF((U37&gt;=1)*OR(U37&lt;=25.5),"PÉSSIMO",IF((U37&gt;=25.55)*OR(U37&lt;=49.5),"RUIM",IF((U37&gt;=49.55)*OR(U37&lt;=74.5),"REGULAR",IF((U37&gt;=74.55)*OR(U37&lt;=100),"SATISFATÓRIO")))))</f>
        <v>#DIV/0!</v>
      </c>
      <c r="U35" s="695"/>
      <c r="V35" s="696"/>
      <c r="W35" s="169"/>
      <c r="X35" s="169"/>
      <c r="Y35" s="700" t="e">
        <f>IF(Z37&gt;=74.55,"ALERTA ALTÍSSIMO",IF((Z37&gt;=50.55)*OR(Z37&lt;=74.5),"ALERTA ALTO",IF((Z37&gt;=19.55)*OR(Z37&lt;=50.5),"ALERTA MODERADO",IF((Z37&gt;=1)*OR(Z37&lt;=19.5),"CONSIDERAR  O RESULTADO 1",IF(Z37=0,"SEM PREENCHIMENTO")))))</f>
        <v>#DIV/0!</v>
      </c>
      <c r="Z35" s="701"/>
      <c r="AA35" s="702"/>
      <c r="AB35" s="169"/>
      <c r="AC35" s="332"/>
    </row>
    <row r="36" spans="1:29" s="23" customFormat="1" ht="24.95" customHeight="1" thickBot="1" x14ac:dyDescent="0.3">
      <c r="A36" s="25"/>
      <c r="B36" s="127"/>
      <c r="C36" s="127"/>
      <c r="D36" s="685" t="str">
        <f>SUSTENTABILIDADE!C45</f>
        <v>Legenda: PÉS - péssima// EX - excelente; B - boa; R - regular// Dir - direção; Man - manipulador</v>
      </c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7"/>
      <c r="S36" s="169"/>
      <c r="T36" s="697"/>
      <c r="U36" s="698"/>
      <c r="V36" s="699"/>
      <c r="W36" s="169"/>
      <c r="X36" s="169"/>
      <c r="Y36" s="703"/>
      <c r="Z36" s="704"/>
      <c r="AA36" s="705"/>
      <c r="AB36" s="169"/>
      <c r="AC36" s="332"/>
    </row>
    <row r="37" spans="1:29" s="23" customFormat="1" ht="24.75" customHeight="1" thickBot="1" x14ac:dyDescent="0.3">
      <c r="A37" s="25"/>
      <c r="B37" s="127"/>
      <c r="C37" s="127"/>
      <c r="D37" s="706" t="s">
        <v>351</v>
      </c>
      <c r="E37" s="707"/>
      <c r="F37" s="707"/>
      <c r="G37" s="707"/>
      <c r="H37" s="708"/>
      <c r="I37" s="688" t="e">
        <f>IF(I29&lt;0,"RESPOSTAS EM BRANCO",IF((I29&gt;0),"MAIS DE UMA RESPOSTA POR FUNCIONÁRIO",IF((I29=0),"NÃO POSSUI ERROS DE PREENCHIMENTO")))</f>
        <v>#DIV/0!</v>
      </c>
      <c r="J37" s="689"/>
      <c r="K37" s="689"/>
      <c r="L37" s="689"/>
      <c r="M37" s="689"/>
      <c r="N37" s="689"/>
      <c r="O37" s="689"/>
      <c r="P37" s="689"/>
      <c r="Q37" s="689"/>
      <c r="R37" s="690"/>
      <c r="S37" s="169"/>
      <c r="T37" s="422" t="s">
        <v>1</v>
      </c>
      <c r="U37" s="423" t="e">
        <f>AQPC!M19</f>
        <v>#DIV/0!</v>
      </c>
      <c r="V37" s="424" t="s">
        <v>0</v>
      </c>
      <c r="W37" s="169"/>
      <c r="X37" s="169"/>
      <c r="Y37" s="422" t="s">
        <v>1</v>
      </c>
      <c r="Z37" s="425" t="e">
        <f>AQPC!M31</f>
        <v>#DIV/0!</v>
      </c>
      <c r="AA37" s="424" t="s">
        <v>0</v>
      </c>
      <c r="AB37" s="169"/>
      <c r="AC37" s="333"/>
    </row>
    <row r="38" spans="1:29" s="23" customFormat="1" ht="24.95" customHeight="1" thickBot="1" x14ac:dyDescent="0.3">
      <c r="A38" s="25"/>
      <c r="B38" s="25"/>
      <c r="C38" s="25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332"/>
    </row>
    <row r="39" spans="1:29" s="23" customFormat="1" ht="29.25" customHeight="1" thickBot="1" x14ac:dyDescent="0.3">
      <c r="A39" s="25"/>
      <c r="B39" s="25"/>
      <c r="C39" s="25"/>
      <c r="D39" s="720" t="s">
        <v>424</v>
      </c>
      <c r="E39" s="721"/>
      <c r="F39" s="721"/>
      <c r="G39" s="721"/>
      <c r="H39" s="721"/>
      <c r="I39" s="721"/>
      <c r="J39" s="721"/>
      <c r="K39" s="721"/>
      <c r="L39" s="721"/>
      <c r="M39" s="723" t="e">
        <f>IF(SUSTENTABILIDADE!P80&lt;=7.999,"S - SATISFATÓRIO",IF((SUSTENTABILIDADE!P80&gt;=8)*OR(SUSTENTABILIDADE!P80&lt;=15.99),"R - REGULAR",IF((SUSTENTABILIDADE!P80&gt;=16),"I - INSATISFATÓRIO")))</f>
        <v>#DIV/0!</v>
      </c>
      <c r="N39" s="723"/>
      <c r="O39" s="723"/>
      <c r="P39" s="724"/>
      <c r="Q39" s="360"/>
      <c r="R39" s="360"/>
      <c r="S39" s="169"/>
      <c r="T39" s="712" t="s">
        <v>422</v>
      </c>
      <c r="U39" s="712"/>
      <c r="V39" s="712"/>
      <c r="W39" s="712"/>
      <c r="X39" s="712"/>
      <c r="Y39" s="712"/>
      <c r="Z39" s="712"/>
      <c r="AA39" s="712"/>
      <c r="AB39" s="169"/>
      <c r="AC39" s="332"/>
    </row>
    <row r="40" spans="1:29" ht="28.5" customHeight="1" thickBot="1" x14ac:dyDescent="0.3">
      <c r="A40" s="25"/>
      <c r="B40" s="25"/>
      <c r="C40" s="25"/>
      <c r="D40" s="350"/>
      <c r="E40" s="713" t="str">
        <f>SUSTENTABILIDADE!D63</f>
        <v>MELHORIAS</v>
      </c>
      <c r="F40" s="714"/>
      <c r="G40" s="714"/>
      <c r="H40" s="715"/>
      <c r="I40" s="716" t="str">
        <f>SUSTENTABILIDADE!H63</f>
        <v>IMPEDIMENTOS</v>
      </c>
      <c r="J40" s="714"/>
      <c r="K40" s="714"/>
      <c r="L40" s="717"/>
      <c r="M40" s="713" t="str">
        <f>SUSTENTABILIDADE!L63</f>
        <v>MATERIAIS USADOS NA EDIFICAÇÃO</v>
      </c>
      <c r="N40" s="714"/>
      <c r="O40" s="714"/>
      <c r="P40" s="717"/>
      <c r="Q40" s="360"/>
      <c r="R40" s="360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332"/>
    </row>
    <row r="41" spans="1:29" ht="30" customHeight="1" thickBot="1" x14ac:dyDescent="0.3">
      <c r="A41" s="25"/>
      <c r="B41" s="127"/>
      <c r="C41" s="127"/>
      <c r="D41" s="357"/>
      <c r="E41" s="280" t="str">
        <f>SUSTENTABILIDADE!D64</f>
        <v>ES</v>
      </c>
      <c r="F41" s="280" t="str">
        <f>SUSTENTABILIDADE!E64</f>
        <v>EQ</v>
      </c>
      <c r="G41" s="280" t="str">
        <f>SUSTENTABILIDADE!F64</f>
        <v>R</v>
      </c>
      <c r="H41" s="280" t="str">
        <f>SUSTENTABILIDADE!G64</f>
        <v>OUTRO</v>
      </c>
      <c r="I41" s="280" t="str">
        <f>SUSTENTABILIDADE!H64</f>
        <v>E.G.R</v>
      </c>
      <c r="J41" s="280" t="str">
        <f>SUSTENTABILIDADE!I64</f>
        <v>UT</v>
      </c>
      <c r="K41" s="280" t="str">
        <f>SUSTENTABILIDADE!J64</f>
        <v>EQ</v>
      </c>
      <c r="L41" s="280" t="str">
        <f>SUSTENTABILIDADE!K64</f>
        <v>OUTRO</v>
      </c>
      <c r="M41" s="280" t="str">
        <f>SUSTENTABILIDADE!L64</f>
        <v>CONV</v>
      </c>
      <c r="N41" s="280" t="str">
        <f>SUSTENTABILIDADE!M64</f>
        <v>BIA</v>
      </c>
      <c r="O41" s="280" t="str">
        <f>SUSTENTABILIDADE!N64</f>
        <v>AMBOS</v>
      </c>
      <c r="P41" s="419" t="str">
        <f>SUSTENTABILIDADE!O64</f>
        <v>OUTRO</v>
      </c>
      <c r="Q41" s="360"/>
      <c r="R41" s="360"/>
      <c r="S41" s="169"/>
      <c r="T41" s="680" t="s">
        <v>420</v>
      </c>
      <c r="U41" s="681"/>
      <c r="V41" s="682"/>
      <c r="W41" s="475"/>
      <c r="X41" s="475"/>
      <c r="Y41" s="680" t="s">
        <v>421</v>
      </c>
      <c r="Z41" s="681"/>
      <c r="AA41" s="682"/>
      <c r="AB41" s="169"/>
      <c r="AC41" s="332"/>
    </row>
    <row r="42" spans="1:29" ht="21.95" customHeight="1" thickBot="1" x14ac:dyDescent="0.3">
      <c r="A42" s="25"/>
      <c r="B42" s="127"/>
      <c r="C42" s="127"/>
      <c r="D42" s="319" t="s">
        <v>1</v>
      </c>
      <c r="E42" s="372">
        <f>SUSTENTABILIDADE!D76</f>
        <v>0</v>
      </c>
      <c r="F42" s="372">
        <f>SUSTENTABILIDADE!E76</f>
        <v>0</v>
      </c>
      <c r="G42" s="372">
        <f>SUSTENTABILIDADE!F76</f>
        <v>0</v>
      </c>
      <c r="H42" s="372">
        <f>SUSTENTABILIDADE!G76</f>
        <v>0</v>
      </c>
      <c r="I42" s="372">
        <f>SUSTENTABILIDADE!H76</f>
        <v>0</v>
      </c>
      <c r="J42" s="372">
        <f>SUSTENTABILIDADE!I76</f>
        <v>0</v>
      </c>
      <c r="K42" s="372">
        <f>SUSTENTABILIDADE!J76</f>
        <v>0</v>
      </c>
      <c r="L42" s="372">
        <f>SUSTENTABILIDADE!K76</f>
        <v>0</v>
      </c>
      <c r="M42" s="372">
        <f>SUSTENTABILIDADE!L76</f>
        <v>0</v>
      </c>
      <c r="N42" s="372">
        <f>SUSTENTABILIDADE!M76</f>
        <v>0</v>
      </c>
      <c r="O42" s="372">
        <f>SUSTENTABILIDADE!N76</f>
        <v>0</v>
      </c>
      <c r="P42" s="373">
        <f>SUSTENTABILIDADE!O76</f>
        <v>0</v>
      </c>
      <c r="Q42" s="360"/>
      <c r="R42" s="360"/>
      <c r="S42" s="169"/>
      <c r="T42" s="298" t="s">
        <v>371</v>
      </c>
      <c r="U42" s="730" t="s">
        <v>372</v>
      </c>
      <c r="V42" s="731"/>
      <c r="W42" s="169"/>
      <c r="X42" s="169"/>
      <c r="Y42" s="683" t="s">
        <v>375</v>
      </c>
      <c r="Z42" s="684"/>
      <c r="AA42" s="299" t="s">
        <v>373</v>
      </c>
      <c r="AB42" s="169"/>
      <c r="AC42" s="332"/>
    </row>
    <row r="43" spans="1:29" ht="24.95" customHeight="1" thickBot="1" x14ac:dyDescent="0.3">
      <c r="A43" s="25"/>
      <c r="B43" s="127"/>
      <c r="C43" s="127"/>
      <c r="D43" s="356" t="s">
        <v>379</v>
      </c>
      <c r="E43" s="366" t="e">
        <f>(E42*100)/B33</f>
        <v>#DIV/0!</v>
      </c>
      <c r="F43" s="366" t="e">
        <f>(F42*100)/B33</f>
        <v>#DIV/0!</v>
      </c>
      <c r="G43" s="366" t="e">
        <f>(G42*100)/B33</f>
        <v>#DIV/0!</v>
      </c>
      <c r="H43" s="366" t="e">
        <f>(H42*100)/B33</f>
        <v>#DIV/0!</v>
      </c>
      <c r="I43" s="366" t="e">
        <f>(I42*100)/B33</f>
        <v>#DIV/0!</v>
      </c>
      <c r="J43" s="366" t="e">
        <f>(J42*100)/B33</f>
        <v>#DIV/0!</v>
      </c>
      <c r="K43" s="366" t="e">
        <f>(K42*100)/B33</f>
        <v>#DIV/0!</v>
      </c>
      <c r="L43" s="366" t="e">
        <f>(L42*100)/B33</f>
        <v>#DIV/0!</v>
      </c>
      <c r="M43" s="366" t="e">
        <f>(M42*100)/B33</f>
        <v>#DIV/0!</v>
      </c>
      <c r="N43" s="366" t="e">
        <f>(N42*100)/B33</f>
        <v>#DIV/0!</v>
      </c>
      <c r="O43" s="366" t="e">
        <f>(O42*100)/B33</f>
        <v>#DIV/0!</v>
      </c>
      <c r="P43" s="374" t="e">
        <f>(P42*100)/B33</f>
        <v>#DIV/0!</v>
      </c>
      <c r="Q43" s="360"/>
      <c r="R43" s="360"/>
      <c r="S43" s="169"/>
      <c r="T43" s="173" t="s">
        <v>47</v>
      </c>
      <c r="U43" s="732" t="s">
        <v>48</v>
      </c>
      <c r="V43" s="733"/>
      <c r="W43" s="169"/>
      <c r="X43" s="169"/>
      <c r="Y43" s="219" t="s">
        <v>368</v>
      </c>
      <c r="Z43" s="486"/>
      <c r="AA43" s="485" t="s">
        <v>363</v>
      </c>
      <c r="AB43" s="169"/>
      <c r="AC43" s="332"/>
    </row>
    <row r="44" spans="1:29" s="336" customFormat="1" ht="15.75" hidden="1" customHeight="1" thickBot="1" x14ac:dyDescent="0.3">
      <c r="B44" s="337"/>
      <c r="C44" s="337"/>
      <c r="D44" s="354"/>
      <c r="E44" s="691" t="e">
        <f>(E43+F43+G43+H43)</f>
        <v>#DIV/0!</v>
      </c>
      <c r="F44" s="692"/>
      <c r="G44" s="692"/>
      <c r="H44" s="693"/>
      <c r="I44" s="691" t="e">
        <f>(I43+J43+K43+L43)</f>
        <v>#DIV/0!</v>
      </c>
      <c r="J44" s="692"/>
      <c r="K44" s="692"/>
      <c r="L44" s="693"/>
      <c r="M44" s="691" t="e">
        <f>(M43+N43+O43+P43)</f>
        <v>#DIV/0!</v>
      </c>
      <c r="N44" s="692"/>
      <c r="O44" s="692"/>
      <c r="P44" s="693"/>
      <c r="Q44" s="380"/>
      <c r="R44" s="380"/>
      <c r="S44" s="338"/>
      <c r="T44" s="315" t="s">
        <v>49</v>
      </c>
      <c r="U44" s="493" t="s">
        <v>197</v>
      </c>
      <c r="V44" s="490"/>
      <c r="W44" s="169"/>
      <c r="X44" s="169"/>
      <c r="Y44" s="315" t="s">
        <v>369</v>
      </c>
      <c r="Z44" s="316"/>
      <c r="AA44" s="483" t="s">
        <v>198</v>
      </c>
      <c r="AB44" s="338"/>
    </row>
    <row r="45" spans="1:29" s="23" customFormat="1" ht="32.25" customHeight="1" thickBot="1" x14ac:dyDescent="0.3">
      <c r="A45" s="25"/>
      <c r="B45" s="127"/>
      <c r="C45" s="127"/>
      <c r="D45" s="685" t="str">
        <f>SUSTENTABILIDADE!C65</f>
        <v>Legenda: ES - estrutural; EQ - equipamentos; R - relacionamentos// E.G.R - entrega regular de gêneros; UT - utensílios//  CONV - convencional; BIA - baixo impacto ambiental</v>
      </c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6"/>
      <c r="P45" s="687"/>
      <c r="Q45" s="360"/>
      <c r="R45" s="360"/>
      <c r="S45" s="169"/>
      <c r="T45" s="315" t="s">
        <v>49</v>
      </c>
      <c r="U45" s="734" t="s">
        <v>440</v>
      </c>
      <c r="V45" s="735"/>
      <c r="W45" s="169"/>
      <c r="X45" s="169"/>
      <c r="Y45" s="315" t="s">
        <v>370</v>
      </c>
      <c r="Z45" s="316"/>
      <c r="AA45" s="483" t="s">
        <v>48</v>
      </c>
      <c r="AB45" s="169"/>
      <c r="AC45" s="332"/>
    </row>
    <row r="46" spans="1:29" s="209" customFormat="1" ht="32.25" customHeight="1" thickBot="1" x14ac:dyDescent="0.3">
      <c r="A46" s="401"/>
      <c r="B46" s="403"/>
      <c r="C46" s="403"/>
      <c r="D46" s="706" t="s">
        <v>351</v>
      </c>
      <c r="E46" s="707"/>
      <c r="F46" s="707"/>
      <c r="G46" s="707"/>
      <c r="H46" s="708"/>
      <c r="I46" s="688" t="e">
        <f>IF(E47&lt;0,"RESPOSTAS EM BRANCO",IF((E47&gt;0),"MAIS DE UMA RESPOSTA POR FUNCIONÁRIO",IF((E47=0),"NÃO POSSUI ERROS DE PREENCHIMENTO")))</f>
        <v>#DIV/0!</v>
      </c>
      <c r="J46" s="689"/>
      <c r="K46" s="689"/>
      <c r="L46" s="689"/>
      <c r="M46" s="689"/>
      <c r="N46" s="689"/>
      <c r="O46" s="689"/>
      <c r="P46" s="690"/>
      <c r="Q46" s="371"/>
      <c r="R46" s="404"/>
      <c r="S46" s="169"/>
      <c r="T46" s="174" t="s">
        <v>50</v>
      </c>
      <c r="U46" s="736" t="s">
        <v>439</v>
      </c>
      <c r="V46" s="737"/>
      <c r="W46" s="169"/>
      <c r="X46" s="169"/>
      <c r="Y46" s="174" t="s">
        <v>370</v>
      </c>
      <c r="Z46" s="487"/>
      <c r="AA46" s="484" t="s">
        <v>199</v>
      </c>
      <c r="AB46" s="391"/>
      <c r="AC46" s="405"/>
    </row>
    <row r="47" spans="1:29" s="408" customFormat="1" ht="3.75" hidden="1" customHeight="1" x14ac:dyDescent="0.25">
      <c r="B47" s="409"/>
      <c r="C47" s="409"/>
      <c r="D47" s="410"/>
      <c r="E47" s="410" t="e">
        <f>(E44+I44+M44)-300</f>
        <v>#DIV/0!</v>
      </c>
      <c r="F47" s="410"/>
      <c r="G47" s="410"/>
      <c r="H47" s="410"/>
      <c r="I47" s="411"/>
      <c r="J47" s="410"/>
      <c r="K47" s="410"/>
      <c r="L47" s="410"/>
      <c r="M47" s="410"/>
      <c r="N47" s="410"/>
      <c r="O47" s="410"/>
      <c r="P47" s="410"/>
      <c r="Q47" s="412"/>
      <c r="R47" s="412"/>
      <c r="S47" s="169"/>
      <c r="T47" s="491"/>
      <c r="U47" s="391"/>
      <c r="V47" s="492"/>
      <c r="W47" s="169"/>
      <c r="X47" s="169"/>
      <c r="Y47" s="169"/>
      <c r="Z47" s="169"/>
      <c r="AA47" s="169"/>
      <c r="AB47" s="413"/>
      <c r="AC47" s="413"/>
    </row>
    <row r="48" spans="1:29" s="393" customFormat="1" ht="39.75" customHeight="1" thickBot="1" x14ac:dyDescent="0.3">
      <c r="A48" s="401"/>
      <c r="B48" s="403"/>
      <c r="C48" s="403"/>
      <c r="D48" s="406"/>
      <c r="E48" s="406"/>
      <c r="F48" s="406"/>
      <c r="G48" s="406"/>
      <c r="H48" s="406"/>
      <c r="I48" s="406"/>
      <c r="J48" s="406"/>
      <c r="K48" s="371"/>
      <c r="L48" s="371"/>
      <c r="M48" s="371"/>
      <c r="N48" s="371"/>
      <c r="O48" s="371"/>
      <c r="P48" s="371"/>
      <c r="Q48" s="371"/>
      <c r="R48" s="371"/>
      <c r="S48" s="169"/>
      <c r="T48" s="169"/>
      <c r="U48" s="169"/>
      <c r="V48" s="169"/>
      <c r="W48" s="391"/>
      <c r="X48" s="391"/>
      <c r="Y48" s="391"/>
      <c r="Z48" s="391"/>
      <c r="AA48" s="391"/>
      <c r="AB48" s="391"/>
      <c r="AC48" s="407"/>
    </row>
    <row r="49" spans="1:29" s="408" customFormat="1" ht="15.75" hidden="1" thickBot="1" x14ac:dyDescent="0.3">
      <c r="B49" s="409"/>
      <c r="C49" s="409"/>
      <c r="D49" s="410"/>
      <c r="E49" s="410" t="e">
        <f>(E55)-100</f>
        <v>#DIV/0!</v>
      </c>
      <c r="F49" s="410"/>
      <c r="G49" s="410"/>
      <c r="H49" s="410"/>
      <c r="I49" s="411"/>
      <c r="J49" s="410"/>
      <c r="K49" s="410"/>
      <c r="L49" s="410"/>
      <c r="M49" s="410"/>
      <c r="N49" s="410"/>
      <c r="O49" s="410"/>
      <c r="P49" s="410"/>
      <c r="Q49" s="412"/>
      <c r="R49" s="412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</row>
    <row r="50" spans="1:29" ht="24.95" customHeight="1" thickBot="1" x14ac:dyDescent="0.3">
      <c r="A50" s="25"/>
      <c r="B50" s="127"/>
      <c r="C50" s="127"/>
      <c r="D50" s="533" t="s">
        <v>423</v>
      </c>
      <c r="E50" s="534"/>
      <c r="F50" s="534"/>
      <c r="G50" s="534"/>
      <c r="H50" s="534"/>
      <c r="I50" s="534"/>
      <c r="J50" s="534"/>
      <c r="K50" s="534"/>
      <c r="L50" s="534"/>
      <c r="M50" s="723" t="e">
        <f>IF(SUSTENTABILIDADE!P95&lt;=7.55,"S - SATISFATÓRIO",IF((SUSTENTABILIDADE!P95&gt;=7.56)*OR(SUSTENTABILIDADE!P95&lt;=11.55),"R - REGULAR",IF((SUSTENTABILIDADE!P95&gt;=11.56),"I - INSATISFATÓRIO")))</f>
        <v>#DIV/0!</v>
      </c>
      <c r="N50" s="723"/>
      <c r="O50" s="723"/>
      <c r="P50" s="724"/>
      <c r="Q50" s="370"/>
      <c r="R50" s="370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</row>
    <row r="51" spans="1:29" ht="18.75" customHeight="1" thickBot="1" x14ac:dyDescent="0.3">
      <c r="A51" s="25"/>
      <c r="B51" s="127"/>
      <c r="C51" s="127"/>
      <c r="D51" s="727" t="str">
        <f>SUSTENTABILIDADE!D83</f>
        <v>PARTICIPAÇÃO NA EDUCAÇÃO AMBIENTAL, ECOLOGIA E SUSTENTABILIDADE</v>
      </c>
      <c r="E51" s="728"/>
      <c r="F51" s="728"/>
      <c r="G51" s="728"/>
      <c r="H51" s="728"/>
      <c r="I51" s="728"/>
      <c r="J51" s="728"/>
      <c r="K51" s="728"/>
      <c r="L51" s="728"/>
      <c r="M51" s="728"/>
      <c r="N51" s="728"/>
      <c r="O51" s="728"/>
      <c r="P51" s="729"/>
      <c r="Q51" s="370"/>
      <c r="R51" s="370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334"/>
    </row>
    <row r="52" spans="1:29" ht="21.95" customHeight="1" thickBot="1" x14ac:dyDescent="0.3">
      <c r="A52" s="25"/>
      <c r="B52" s="127"/>
      <c r="C52" s="127"/>
      <c r="D52" s="358"/>
      <c r="E52" s="280" t="str">
        <f>SUSTENTABILIDADE!D84</f>
        <v>PE</v>
      </c>
      <c r="F52" s="280" t="str">
        <f>SUSTENTABILIDADE!E84</f>
        <v>PP</v>
      </c>
      <c r="G52" s="419" t="str">
        <f>SUSTENTABILIDADE!F84</f>
        <v>NÃO</v>
      </c>
      <c r="H52" s="280" t="str">
        <f>SUSTENTABILIDADE!G84</f>
        <v>OUTRO</v>
      </c>
      <c r="I52" s="382"/>
      <c r="J52" s="382"/>
      <c r="K52" s="382"/>
      <c r="L52" s="382"/>
      <c r="M52" s="382"/>
      <c r="N52" s="382"/>
      <c r="O52" s="382"/>
      <c r="P52" s="383"/>
      <c r="Q52" s="370"/>
      <c r="R52" s="370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5"/>
    </row>
    <row r="53" spans="1:29" s="23" customFormat="1" ht="15.75" customHeight="1" thickBot="1" x14ac:dyDescent="0.3">
      <c r="A53" s="25"/>
      <c r="B53" s="127"/>
      <c r="C53" s="127"/>
      <c r="D53" s="320" t="s">
        <v>1</v>
      </c>
      <c r="E53" s="379">
        <f>SUSTENTABILIDADE!L91</f>
        <v>0</v>
      </c>
      <c r="F53" s="379">
        <f>SUSTENTABILIDADE!M91</f>
        <v>0</v>
      </c>
      <c r="G53" s="379">
        <f>SUSTENTABILIDADE!N91</f>
        <v>0</v>
      </c>
      <c r="H53" s="379">
        <f>SUSTENTABILIDADE!O91</f>
        <v>0</v>
      </c>
      <c r="I53" s="384"/>
      <c r="J53" s="384"/>
      <c r="K53" s="384"/>
      <c r="L53" s="384"/>
      <c r="M53" s="384"/>
      <c r="N53" s="384"/>
      <c r="O53" s="384"/>
      <c r="P53" s="385"/>
      <c r="Q53" s="370"/>
      <c r="R53" s="370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5"/>
    </row>
    <row r="54" spans="1:29" s="23" customFormat="1" ht="15.75" customHeight="1" thickBot="1" x14ac:dyDescent="0.3">
      <c r="A54" s="25"/>
      <c r="B54" s="127"/>
      <c r="C54" s="127"/>
      <c r="D54" s="356" t="s">
        <v>379</v>
      </c>
      <c r="E54" s="366" t="e">
        <f>(E53*100)/B33</f>
        <v>#DIV/0!</v>
      </c>
      <c r="F54" s="366" t="e">
        <f>(F53*100)/B33</f>
        <v>#DIV/0!</v>
      </c>
      <c r="G54" s="366" t="e">
        <f>(G53*100)/B33</f>
        <v>#DIV/0!</v>
      </c>
      <c r="H54" s="366" t="e">
        <f>(H53*100)/B33</f>
        <v>#DIV/0!</v>
      </c>
      <c r="I54" s="386"/>
      <c r="J54" s="386"/>
      <c r="K54" s="386"/>
      <c r="L54" s="386"/>
      <c r="M54" s="386"/>
      <c r="N54" s="386"/>
      <c r="O54" s="386"/>
      <c r="P54" s="387"/>
      <c r="Q54" s="370"/>
      <c r="R54" s="370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5"/>
    </row>
    <row r="55" spans="1:29" s="336" customFormat="1" ht="15.75" hidden="1" thickBot="1" x14ac:dyDescent="0.3">
      <c r="B55" s="337"/>
      <c r="C55" s="337"/>
      <c r="D55" s="354"/>
      <c r="E55" s="398" t="e">
        <f>(E54+F54+G54+H54)</f>
        <v>#DIV/0!</v>
      </c>
      <c r="F55" s="399"/>
      <c r="G55" s="399"/>
      <c r="H55" s="400"/>
      <c r="I55" s="375"/>
      <c r="J55" s="376"/>
      <c r="K55" s="376"/>
      <c r="L55" s="377"/>
      <c r="M55" s="375"/>
      <c r="N55" s="376"/>
      <c r="O55" s="376"/>
      <c r="P55" s="377"/>
      <c r="Q55" s="381"/>
      <c r="R55" s="381"/>
      <c r="S55" s="334"/>
      <c r="T55" s="334"/>
      <c r="U55" s="334"/>
      <c r="V55" s="334"/>
      <c r="W55" s="334"/>
      <c r="X55" s="334"/>
      <c r="Y55" s="334"/>
      <c r="Z55" s="334"/>
      <c r="AA55" s="334"/>
      <c r="AB55" s="334"/>
      <c r="AC55" s="337"/>
    </row>
    <row r="56" spans="1:29" s="23" customFormat="1" ht="15.75" customHeight="1" thickBot="1" x14ac:dyDescent="0.3">
      <c r="A56" s="25"/>
      <c r="B56" s="127"/>
      <c r="C56" s="127"/>
      <c r="D56" s="685" t="str">
        <f>SUSTENTABILIDADE!C85</f>
        <v>Legenda: PE - projeto da escola; PP - projeto do professor</v>
      </c>
      <c r="E56" s="686"/>
      <c r="F56" s="686"/>
      <c r="G56" s="686"/>
      <c r="H56" s="686"/>
      <c r="I56" s="686"/>
      <c r="J56" s="686"/>
      <c r="K56" s="686"/>
      <c r="L56" s="686"/>
      <c r="M56" s="686"/>
      <c r="N56" s="686"/>
      <c r="O56" s="686"/>
      <c r="P56" s="687"/>
      <c r="Q56" s="370"/>
      <c r="R56" s="370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5"/>
    </row>
    <row r="57" spans="1:29" s="23" customFormat="1" ht="23.25" customHeight="1" thickBot="1" x14ac:dyDescent="0.3">
      <c r="A57" s="649"/>
      <c r="B57" s="649"/>
      <c r="C57" s="662"/>
      <c r="D57" s="706" t="s">
        <v>351</v>
      </c>
      <c r="E57" s="707"/>
      <c r="F57" s="707"/>
      <c r="G57" s="707"/>
      <c r="H57" s="708"/>
      <c r="I57" s="688" t="e">
        <f>IF(E49&lt;0,"RESPOSTAS EM BRANCO",IF((E49&gt;0),"MAIS DE UMA RESPOSTA POR FUNCIONÁRIO",IF((E49=0),"NÃO POSSUI ERROS DE PREENCHIMENTO")))</f>
        <v>#DIV/0!</v>
      </c>
      <c r="J57" s="689"/>
      <c r="K57" s="689"/>
      <c r="L57" s="689"/>
      <c r="M57" s="689"/>
      <c r="N57" s="689"/>
      <c r="O57" s="689"/>
      <c r="P57" s="690"/>
      <c r="Q57" s="370"/>
      <c r="R57" s="370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5"/>
    </row>
    <row r="58" spans="1:29" s="209" customFormat="1" ht="15.75" hidden="1" customHeight="1" thickBot="1" x14ac:dyDescent="0.3">
      <c r="A58" s="649"/>
      <c r="B58" s="649"/>
      <c r="C58" s="662"/>
      <c r="D58" s="443"/>
      <c r="E58" s="443"/>
      <c r="F58" s="443"/>
      <c r="G58" s="443"/>
      <c r="H58" s="443"/>
      <c r="I58" s="443"/>
      <c r="J58" s="443"/>
      <c r="K58" s="443"/>
      <c r="L58" s="443"/>
      <c r="M58" s="371"/>
      <c r="N58" s="444"/>
      <c r="O58" s="444"/>
      <c r="P58" s="444"/>
      <c r="Q58" s="371"/>
      <c r="R58" s="371"/>
      <c r="S58" s="403"/>
      <c r="T58" s="403"/>
      <c r="U58" s="403"/>
      <c r="V58" s="403"/>
      <c r="W58" s="403"/>
      <c r="X58" s="403"/>
      <c r="Y58" s="403"/>
      <c r="Z58" s="403"/>
      <c r="AA58" s="403"/>
      <c r="AB58" s="445"/>
      <c r="AC58" s="407"/>
    </row>
    <row r="59" spans="1:29" s="209" customFormat="1" ht="15" customHeight="1" thickBot="1" x14ac:dyDescent="0.3">
      <c r="A59" s="649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401"/>
      <c r="Q59" s="649"/>
      <c r="R59" s="649"/>
      <c r="AB59" s="446"/>
      <c r="AC59" s="447"/>
    </row>
    <row r="60" spans="1:29" s="453" customFormat="1" ht="29.25" customHeight="1" thickBot="1" x14ac:dyDescent="0.3">
      <c r="A60" s="452"/>
      <c r="B60" s="452"/>
      <c r="C60" s="452"/>
      <c r="D60" s="650" t="s">
        <v>430</v>
      </c>
      <c r="E60" s="651"/>
      <c r="F60" s="651"/>
      <c r="G60" s="651"/>
      <c r="H60" s="651"/>
      <c r="I60" s="651"/>
      <c r="J60" s="651"/>
      <c r="K60" s="652"/>
      <c r="L60" s="651" t="e">
        <f>IF(SUSTENTABILIDADE!Q95&lt;=7.5,"S - SATISFATÓRIO",IF((SUSTENTABILIDADE!Q95&gt;=7.56)*OR(SUSTENTABILIDADE!Q95&lt;=11.5),"R - REGULAR",IF((SUSTENTABILIDADE!Q95&gt;=11.56),"I - INSATISFATÓRIO")))</f>
        <v>#DIV/0!</v>
      </c>
      <c r="M60" s="651"/>
      <c r="N60" s="651"/>
      <c r="O60" s="651"/>
      <c r="P60" s="652"/>
      <c r="Q60" s="452"/>
      <c r="R60" s="452"/>
      <c r="AB60" s="454"/>
      <c r="AC60" s="455"/>
    </row>
    <row r="61" spans="1:29" s="209" customFormat="1" ht="12.75" customHeight="1" thickBot="1" x14ac:dyDescent="0.3">
      <c r="A61" s="448"/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01"/>
      <c r="Q61" s="448"/>
      <c r="R61" s="448"/>
      <c r="AB61" s="446"/>
      <c r="AC61" s="447"/>
    </row>
    <row r="62" spans="1:29" s="209" customFormat="1" ht="25.5" customHeight="1" thickBot="1" x14ac:dyDescent="0.3">
      <c r="A62" s="649"/>
      <c r="B62" s="649"/>
      <c r="C62" s="662"/>
      <c r="D62" s="663" t="s">
        <v>388</v>
      </c>
      <c r="E62" s="664"/>
      <c r="F62" s="665"/>
      <c r="G62" s="474"/>
      <c r="H62" s="675" t="s">
        <v>429</v>
      </c>
      <c r="I62" s="675"/>
      <c r="J62" s="675"/>
      <c r="K62" s="675"/>
      <c r="L62" s="675"/>
      <c r="M62" s="676"/>
      <c r="N62" s="653" t="s">
        <v>389</v>
      </c>
      <c r="O62" s="653"/>
      <c r="P62" s="654"/>
      <c r="Q62" s="649"/>
      <c r="R62" s="649"/>
      <c r="AB62" s="446"/>
      <c r="AC62" s="447"/>
    </row>
    <row r="63" spans="1:29" s="441" customFormat="1" ht="24.95" customHeight="1" x14ac:dyDescent="0.25">
      <c r="A63" s="649"/>
      <c r="B63" s="649"/>
      <c r="C63" s="662"/>
      <c r="D63" s="666" t="s">
        <v>414</v>
      </c>
      <c r="E63" s="667"/>
      <c r="F63" s="668"/>
      <c r="G63" s="677" t="s">
        <v>415</v>
      </c>
      <c r="H63" s="678"/>
      <c r="I63" s="678"/>
      <c r="J63" s="678"/>
      <c r="K63" s="678"/>
      <c r="L63" s="678"/>
      <c r="M63" s="679"/>
      <c r="N63" s="655" t="s">
        <v>436</v>
      </c>
      <c r="O63" s="655"/>
      <c r="P63" s="656"/>
      <c r="Q63" s="649"/>
      <c r="R63" s="649"/>
      <c r="AB63" s="442"/>
      <c r="AC63" s="442"/>
    </row>
    <row r="64" spans="1:29" s="441" customFormat="1" ht="24.95" customHeight="1" x14ac:dyDescent="0.25">
      <c r="A64" s="448"/>
      <c r="B64" s="448"/>
      <c r="C64" s="449"/>
      <c r="D64" s="669" t="s">
        <v>228</v>
      </c>
      <c r="E64" s="670"/>
      <c r="F64" s="671"/>
      <c r="G64" s="669" t="s">
        <v>435</v>
      </c>
      <c r="H64" s="670"/>
      <c r="I64" s="670"/>
      <c r="J64" s="670"/>
      <c r="K64" s="670"/>
      <c r="L64" s="670"/>
      <c r="M64" s="671"/>
      <c r="N64" s="657" t="s">
        <v>437</v>
      </c>
      <c r="O64" s="658"/>
      <c r="P64" s="659"/>
      <c r="Q64" s="448"/>
      <c r="R64" s="448"/>
      <c r="AB64" s="442"/>
      <c r="AC64" s="442"/>
    </row>
    <row r="65" spans="1:29" s="441" customFormat="1" ht="24.95" customHeight="1" thickBot="1" x14ac:dyDescent="0.3">
      <c r="A65" s="649"/>
      <c r="B65" s="649"/>
      <c r="C65" s="662"/>
      <c r="D65" s="672" t="s">
        <v>2</v>
      </c>
      <c r="E65" s="673"/>
      <c r="F65" s="674"/>
      <c r="G65" s="672" t="s">
        <v>416</v>
      </c>
      <c r="H65" s="673"/>
      <c r="I65" s="673"/>
      <c r="J65" s="673"/>
      <c r="K65" s="673"/>
      <c r="L65" s="673"/>
      <c r="M65" s="674"/>
      <c r="N65" s="660" t="s">
        <v>438</v>
      </c>
      <c r="O65" s="660"/>
      <c r="P65" s="661"/>
      <c r="Q65" s="649"/>
      <c r="R65" s="649"/>
      <c r="AB65" s="442"/>
      <c r="AC65" s="442"/>
    </row>
    <row r="66" spans="1:29" ht="15" customHeight="1" x14ac:dyDescent="0.25">
      <c r="A66" s="649"/>
      <c r="B66" s="649"/>
      <c r="C66" s="649"/>
      <c r="D66" s="649"/>
      <c r="E66" s="649"/>
      <c r="F66" s="649"/>
      <c r="G66" s="649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1"/>
      <c r="T66" s="1"/>
      <c r="U66" s="1"/>
      <c r="V66" s="1"/>
      <c r="W66" s="1"/>
      <c r="X66" s="1"/>
      <c r="Y66" s="1"/>
      <c r="Z66" s="1"/>
      <c r="AA66" s="1"/>
      <c r="AC66" s="331"/>
    </row>
    <row r="67" spans="1:29" ht="15" customHeight="1" x14ac:dyDescent="0.25">
      <c r="A67" s="23"/>
      <c r="O67" s="49"/>
      <c r="P67" s="49"/>
      <c r="Q67" s="49"/>
      <c r="R67" s="49"/>
      <c r="S67" s="1"/>
      <c r="T67" s="1"/>
      <c r="U67" s="1"/>
      <c r="V67" s="1"/>
      <c r="W67" s="1"/>
      <c r="X67" s="1"/>
      <c r="Y67" s="1"/>
      <c r="Z67" s="1"/>
      <c r="AA67" s="1"/>
      <c r="AC67" s="331"/>
    </row>
    <row r="68" spans="1:29" ht="15" customHeight="1" x14ac:dyDescent="0.25">
      <c r="A68" s="23"/>
      <c r="O68" s="49"/>
      <c r="P68" s="49"/>
      <c r="Q68" s="49"/>
      <c r="R68" s="49"/>
      <c r="S68" s="1"/>
      <c r="T68" s="1"/>
      <c r="U68" s="1"/>
      <c r="V68" s="1"/>
      <c r="W68" s="1"/>
      <c r="X68" s="1"/>
      <c r="Y68" s="1"/>
      <c r="Z68" s="1"/>
      <c r="AA68" s="1"/>
      <c r="AC68" s="331"/>
    </row>
    <row r="69" spans="1:29" ht="15" customHeight="1" x14ac:dyDescent="0.25">
      <c r="A69" s="23"/>
      <c r="O69" s="49"/>
      <c r="P69" s="49"/>
      <c r="Q69" s="49"/>
      <c r="R69" s="49"/>
      <c r="S69" s="1"/>
      <c r="T69" s="1"/>
      <c r="U69" s="1"/>
      <c r="V69" s="1"/>
      <c r="W69" s="1"/>
      <c r="X69" s="1"/>
      <c r="Y69" s="1"/>
      <c r="Z69" s="1"/>
      <c r="AA69" s="1"/>
      <c r="AC69" s="331"/>
    </row>
  </sheetData>
  <sheetProtection algorithmName="SHA-512" hashValue="vUIFb7NreHf8aLtjj43XUqtDBsH47HZv8ZKXqA+Sq6TduZw6Y39U5h7hKhg2WRyau0ViQiANUsEgjvs0ibUd5g==" saltValue="i0cqiWXT1nTtWP6dvGMHmw==" spinCount="100000" sheet="1" objects="1" scenarios="1" selectLockedCells="1"/>
  <protectedRanges>
    <protectedRange sqref="A17" name="Intervalo1_1"/>
  </protectedRanges>
  <mergeCells count="138">
    <mergeCell ref="A31:B31"/>
    <mergeCell ref="T12:U12"/>
    <mergeCell ref="D2:O2"/>
    <mergeCell ref="E3:F3"/>
    <mergeCell ref="G3:J3"/>
    <mergeCell ref="K3:M3"/>
    <mergeCell ref="N3:O3"/>
    <mergeCell ref="E5:O5"/>
    <mergeCell ref="E10:H10"/>
    <mergeCell ref="I10:L10"/>
    <mergeCell ref="M10:N10"/>
    <mergeCell ref="O10:P10"/>
    <mergeCell ref="T2:AA2"/>
    <mergeCell ref="T3:W3"/>
    <mergeCell ref="X4:AA4"/>
    <mergeCell ref="T4:W4"/>
    <mergeCell ref="T31:AA31"/>
    <mergeCell ref="T8:W8"/>
    <mergeCell ref="T19:U19"/>
    <mergeCell ref="V17:Y17"/>
    <mergeCell ref="V19:Y19"/>
    <mergeCell ref="T17:U17"/>
    <mergeCell ref="T13:U13"/>
    <mergeCell ref="T15:U15"/>
    <mergeCell ref="T5:W5"/>
    <mergeCell ref="T6:W6"/>
    <mergeCell ref="Z12:AA12"/>
    <mergeCell ref="Z17:AA17"/>
    <mergeCell ref="Z19:AA19"/>
    <mergeCell ref="Z13:AA13"/>
    <mergeCell ref="Z15:AA15"/>
    <mergeCell ref="Z16:AA16"/>
    <mergeCell ref="V9:AA9"/>
    <mergeCell ref="V13:Y13"/>
    <mergeCell ref="V15:Y15"/>
    <mergeCell ref="V16:Y16"/>
    <mergeCell ref="T9:U9"/>
    <mergeCell ref="T7:W7"/>
    <mergeCell ref="T16:U16"/>
    <mergeCell ref="X3:AA3"/>
    <mergeCell ref="X5:AA5"/>
    <mergeCell ref="X6:AA6"/>
    <mergeCell ref="X7:AA7"/>
    <mergeCell ref="X8:AA8"/>
    <mergeCell ref="V12:Y12"/>
    <mergeCell ref="E32:H32"/>
    <mergeCell ref="I32:L32"/>
    <mergeCell ref="M32:N32"/>
    <mergeCell ref="M30:N30"/>
    <mergeCell ref="O30:R30"/>
    <mergeCell ref="O32:R32"/>
    <mergeCell ref="D15:P15"/>
    <mergeCell ref="D16:H16"/>
    <mergeCell ref="I16:P16"/>
    <mergeCell ref="E19:H19"/>
    <mergeCell ref="I19:L19"/>
    <mergeCell ref="M19:N19"/>
    <mergeCell ref="D24:Q24"/>
    <mergeCell ref="E23:H23"/>
    <mergeCell ref="I23:L23"/>
    <mergeCell ref="M23:N23"/>
    <mergeCell ref="O23:Q23"/>
    <mergeCell ref="D25:H25"/>
    <mergeCell ref="D56:P56"/>
    <mergeCell ref="D57:H57"/>
    <mergeCell ref="I57:P57"/>
    <mergeCell ref="D51:P51"/>
    <mergeCell ref="D45:P45"/>
    <mergeCell ref="E44:H44"/>
    <mergeCell ref="I44:L44"/>
    <mergeCell ref="M44:P44"/>
    <mergeCell ref="U42:V42"/>
    <mergeCell ref="D46:H46"/>
    <mergeCell ref="I46:P46"/>
    <mergeCell ref="U43:V43"/>
    <mergeCell ref="U45:V45"/>
    <mergeCell ref="U46:V46"/>
    <mergeCell ref="D9:L9"/>
    <mergeCell ref="D31:N31"/>
    <mergeCell ref="D39:L39"/>
    <mergeCell ref="D50:L50"/>
    <mergeCell ref="M9:P9"/>
    <mergeCell ref="O31:R31"/>
    <mergeCell ref="M39:P39"/>
    <mergeCell ref="M50:P50"/>
    <mergeCell ref="O19:Q19"/>
    <mergeCell ref="D10:D11"/>
    <mergeCell ref="Y41:AA41"/>
    <mergeCell ref="Y42:Z42"/>
    <mergeCell ref="T41:V41"/>
    <mergeCell ref="D36:R36"/>
    <mergeCell ref="I25:Q25"/>
    <mergeCell ref="E30:H30"/>
    <mergeCell ref="I30:L30"/>
    <mergeCell ref="T35:V36"/>
    <mergeCell ref="Y35:AA36"/>
    <mergeCell ref="D37:H37"/>
    <mergeCell ref="I37:R37"/>
    <mergeCell ref="T33:V33"/>
    <mergeCell ref="Y33:AA33"/>
    <mergeCell ref="T39:AA39"/>
    <mergeCell ref="E40:H40"/>
    <mergeCell ref="I40:L40"/>
    <mergeCell ref="M40:P40"/>
    <mergeCell ref="A65:C65"/>
    <mergeCell ref="A66:C66"/>
    <mergeCell ref="D59:F59"/>
    <mergeCell ref="G59:I59"/>
    <mergeCell ref="A57:C57"/>
    <mergeCell ref="A58:C58"/>
    <mergeCell ref="A59:C59"/>
    <mergeCell ref="A62:C62"/>
    <mergeCell ref="A63:C63"/>
    <mergeCell ref="D62:F62"/>
    <mergeCell ref="D63:F63"/>
    <mergeCell ref="D64:F64"/>
    <mergeCell ref="D65:F65"/>
    <mergeCell ref="H62:M62"/>
    <mergeCell ref="G63:M63"/>
    <mergeCell ref="G64:M64"/>
    <mergeCell ref="G65:M65"/>
    <mergeCell ref="Q63:R63"/>
    <mergeCell ref="Q65:R65"/>
    <mergeCell ref="D66:F66"/>
    <mergeCell ref="G66:I66"/>
    <mergeCell ref="J66:L66"/>
    <mergeCell ref="M66:O66"/>
    <mergeCell ref="P66:R66"/>
    <mergeCell ref="J59:L59"/>
    <mergeCell ref="M59:O59"/>
    <mergeCell ref="Q59:R59"/>
    <mergeCell ref="Q62:R62"/>
    <mergeCell ref="D60:K60"/>
    <mergeCell ref="L60:P60"/>
    <mergeCell ref="N62:P62"/>
    <mergeCell ref="N63:P63"/>
    <mergeCell ref="N64:P64"/>
    <mergeCell ref="N65:P65"/>
  </mergeCells>
  <conditionalFormatting sqref="E7:F7">
    <cfRule type="top10" dxfId="19" priority="20" rank="1"/>
  </conditionalFormatting>
  <conditionalFormatting sqref="G7:J7">
    <cfRule type="top10" dxfId="18" priority="19" rank="1"/>
  </conditionalFormatting>
  <conditionalFormatting sqref="K7:M7">
    <cfRule type="top10" dxfId="17" priority="18" rank="1"/>
  </conditionalFormatting>
  <conditionalFormatting sqref="N7:O7">
    <cfRule type="top10" dxfId="16" priority="17" rank="1"/>
  </conditionalFormatting>
  <conditionalFormatting sqref="E13:H13">
    <cfRule type="top10" dxfId="15" priority="16" rank="1"/>
  </conditionalFormatting>
  <conditionalFormatting sqref="I13:L13">
    <cfRule type="top10" dxfId="14" priority="15" rank="1"/>
  </conditionalFormatting>
  <conditionalFormatting sqref="M13:N13">
    <cfRule type="top10" dxfId="13" priority="14" rank="1"/>
  </conditionalFormatting>
  <conditionalFormatting sqref="O13:P13">
    <cfRule type="top10" dxfId="12" priority="13" rank="1"/>
  </conditionalFormatting>
  <conditionalFormatting sqref="E22:H22">
    <cfRule type="top10" dxfId="11" priority="12" rank="1"/>
  </conditionalFormatting>
  <conditionalFormatting sqref="I22:L22">
    <cfRule type="top10" dxfId="10" priority="11" rank="1"/>
  </conditionalFormatting>
  <conditionalFormatting sqref="M22:N22">
    <cfRule type="top10" dxfId="9" priority="10" rank="1"/>
  </conditionalFormatting>
  <conditionalFormatting sqref="O22:Q22">
    <cfRule type="top10" dxfId="8" priority="9" rank="1"/>
  </conditionalFormatting>
  <conditionalFormatting sqref="E35:H35">
    <cfRule type="top10" dxfId="7" priority="8" rank="1"/>
  </conditionalFormatting>
  <conditionalFormatting sqref="I35:L35">
    <cfRule type="top10" dxfId="6" priority="7" rank="1"/>
  </conditionalFormatting>
  <conditionalFormatting sqref="M35:N35">
    <cfRule type="top10" dxfId="5" priority="6" rank="1"/>
  </conditionalFormatting>
  <conditionalFormatting sqref="O35:R35">
    <cfRule type="top10" dxfId="4" priority="5" rank="1"/>
  </conditionalFormatting>
  <conditionalFormatting sqref="E43:H43">
    <cfRule type="top10" dxfId="3" priority="4" rank="1"/>
  </conditionalFormatting>
  <conditionalFormatting sqref="I43:L43">
    <cfRule type="top10" dxfId="2" priority="3" rank="1"/>
  </conditionalFormatting>
  <conditionalFormatting sqref="M43:P43">
    <cfRule type="top10" dxfId="1" priority="2" rank="1"/>
  </conditionalFormatting>
  <conditionalFormatting sqref="E54:H54">
    <cfRule type="top10" dxfId="0" priority="1" rank="1"/>
  </conditionalFormatting>
  <hyperlinks>
    <hyperlink ref="A15" location="RESULTADOS!A1" display="RESULTADOS"/>
    <hyperlink ref="A9" location="'CHECK LIST'!A1" display="CHECK LIST"/>
    <hyperlink ref="A12" location="AQPC!A1" display="MÉTODO AQPC"/>
    <hyperlink ref="A3" location="SOCIODEMOGRÁFICA!A1" display="SÓCIO DEMOGRÁFICA"/>
    <hyperlink ref="A6" location="SUSTENTABILIDADE!A1" display="PESQUISA INDIVIDUAL"/>
    <hyperlink ref="A20" location="'ANÁLISE INTEGRADA'!A1" display="   ANÁLISE INTEGRADA"/>
  </hyperlinks>
  <pageMargins left="0.39370078740157483" right="0.39370078740157483" top="0.39370078740157483" bottom="0.39370078740157483" header="0" footer="0"/>
  <pageSetup paperSize="9" scale="97" orientation="landscape" r:id="rId1"/>
  <rowBreaks count="2" manualBreakCount="2">
    <brk id="23" max="31" man="1"/>
    <brk id="51" max="3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80" zoomScaleNormal="80" zoomScaleSheetLayoutView="80" workbookViewId="0">
      <selection activeCell="P2" sqref="P2"/>
    </sheetView>
  </sheetViews>
  <sheetFormatPr defaultColWidth="14.42578125" defaultRowHeight="17.25" x14ac:dyDescent="0.3"/>
  <cols>
    <col min="1" max="1" width="18.28515625" style="435" customWidth="1"/>
    <col min="2" max="2" width="8" style="49" bestFit="1" customWidth="1"/>
    <col min="3" max="3" width="4.42578125" style="49" bestFit="1" customWidth="1"/>
    <col min="4" max="4" width="5.28515625" style="49" customWidth="1"/>
    <col min="5" max="5" width="4.42578125" style="49" bestFit="1" customWidth="1"/>
    <col min="6" max="6" width="7.85546875" style="49" bestFit="1" customWidth="1"/>
    <col min="7" max="7" width="8.5703125" style="49" bestFit="1" customWidth="1"/>
    <col min="8" max="8" width="5.5703125" style="49" bestFit="1" customWidth="1"/>
    <col min="9" max="9" width="8.42578125" style="49" customWidth="1"/>
    <col min="10" max="10" width="7.140625" style="49" customWidth="1"/>
    <col min="11" max="11" width="4.42578125" style="49" customWidth="1"/>
    <col min="12" max="12" width="8" style="388" bestFit="1" customWidth="1"/>
    <col min="13" max="13" width="6.7109375" style="388" customWidth="1"/>
    <col min="14" max="14" width="7.140625" style="388" bestFit="1" customWidth="1"/>
    <col min="15" max="15" width="4.42578125" style="388" customWidth="1"/>
    <col min="16" max="16" width="26.140625" style="8" customWidth="1"/>
    <col min="17" max="16384" width="14.42578125" style="1"/>
  </cols>
  <sheetData>
    <row r="1" spans="1:16" ht="81" customHeight="1" thickBot="1" x14ac:dyDescent="0.35">
      <c r="A1" s="434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61"/>
      <c r="M1" s="361"/>
      <c r="N1" s="361"/>
      <c r="O1" s="361"/>
      <c r="P1" s="169"/>
    </row>
    <row r="2" spans="1:16" s="440" customFormat="1" ht="65.25" customHeight="1" thickBot="1" x14ac:dyDescent="0.25">
      <c r="A2" s="456"/>
      <c r="B2" s="796" t="s">
        <v>432</v>
      </c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8"/>
      <c r="P2" s="457"/>
    </row>
    <row r="3" spans="1:16" s="440" customFormat="1" ht="21.75" customHeight="1" thickBot="1" x14ac:dyDescent="0.25">
      <c r="A3" s="456"/>
      <c r="B3" s="793" t="str">
        <f>SOCIODEMOGRÁFICA!A16</f>
        <v>ESCOLA MODELO</v>
      </c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5"/>
      <c r="P3" s="457"/>
    </row>
    <row r="4" spans="1:16" s="440" customFormat="1" ht="28.5" customHeight="1" thickBot="1" x14ac:dyDescent="0.25">
      <c r="A4" s="456"/>
      <c r="B4" s="796" t="s">
        <v>417</v>
      </c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8"/>
      <c r="P4" s="457"/>
    </row>
    <row r="5" spans="1:16" s="440" customFormat="1" ht="23.25" customHeight="1" thickBot="1" x14ac:dyDescent="0.25">
      <c r="A5" s="456"/>
      <c r="B5" s="799" t="e">
        <f>RESULTADOS!L60</f>
        <v>#DIV/0!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1"/>
      <c r="P5" s="457"/>
    </row>
    <row r="6" spans="1:16" s="440" customFormat="1" ht="27" customHeight="1" thickBot="1" x14ac:dyDescent="0.25">
      <c r="A6" s="456"/>
      <c r="B6" s="807" t="s">
        <v>419</v>
      </c>
      <c r="C6" s="808"/>
      <c r="D6" s="808"/>
      <c r="E6" s="808"/>
      <c r="F6" s="808"/>
      <c r="G6" s="808"/>
      <c r="H6" s="808"/>
      <c r="I6" s="808"/>
      <c r="J6" s="808"/>
      <c r="K6" s="808"/>
      <c r="L6" s="808"/>
      <c r="M6" s="808"/>
      <c r="N6" s="808"/>
      <c r="O6" s="809"/>
      <c r="P6" s="457"/>
    </row>
    <row r="7" spans="1:16" s="440" customFormat="1" ht="22.5" customHeight="1" thickBot="1" x14ac:dyDescent="0.25">
      <c r="A7" s="456"/>
      <c r="B7" s="802" t="str">
        <f>RESULTADOS!V9</f>
        <v>E - RISCO SANITÁRIO MUITO ALTO</v>
      </c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4"/>
      <c r="P7" s="457"/>
    </row>
    <row r="8" spans="1:16" s="440" customFormat="1" ht="41.25" customHeight="1" thickBot="1" x14ac:dyDescent="0.25">
      <c r="A8" s="456"/>
      <c r="B8" s="796" t="s">
        <v>433</v>
      </c>
      <c r="C8" s="797"/>
      <c r="D8" s="797"/>
      <c r="E8" s="797"/>
      <c r="F8" s="797"/>
      <c r="G8" s="797"/>
      <c r="H8" s="797"/>
      <c r="I8" s="797"/>
      <c r="J8" s="797"/>
      <c r="K8" s="797"/>
      <c r="L8" s="797"/>
      <c r="M8" s="797"/>
      <c r="N8" s="797"/>
      <c r="O8" s="798"/>
      <c r="P8" s="457"/>
    </row>
    <row r="9" spans="1:16" s="462" customFormat="1" ht="15.75" hidden="1" customHeight="1" thickBot="1" x14ac:dyDescent="0.25">
      <c r="A9" s="456"/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60"/>
      <c r="P9" s="461"/>
    </row>
    <row r="10" spans="1:16" s="468" customFormat="1" ht="24" customHeight="1" thickBot="1" x14ac:dyDescent="0.3">
      <c r="A10" s="466"/>
      <c r="B10" s="470" t="e">
        <f>RESULTADOS!U37</f>
        <v>#DIV/0!</v>
      </c>
      <c r="C10" s="471" t="str">
        <f>RESULTADOS!V37</f>
        <v>%</v>
      </c>
      <c r="D10" s="810" t="s">
        <v>411</v>
      </c>
      <c r="E10" s="810"/>
      <c r="F10" s="810"/>
      <c r="G10" s="810"/>
      <c r="H10" s="810"/>
      <c r="I10" s="810"/>
      <c r="J10" s="805" t="e">
        <f>RESULTADOS!T35</f>
        <v>#DIV/0!</v>
      </c>
      <c r="K10" s="805"/>
      <c r="L10" s="805"/>
      <c r="M10" s="805"/>
      <c r="N10" s="805"/>
      <c r="O10" s="806"/>
      <c r="P10" s="467"/>
    </row>
    <row r="11" spans="1:16" s="468" customFormat="1" ht="30.75" customHeight="1" thickBot="1" x14ac:dyDescent="0.3">
      <c r="A11" s="466"/>
      <c r="B11" s="796" t="s">
        <v>434</v>
      </c>
      <c r="C11" s="797"/>
      <c r="D11" s="797"/>
      <c r="E11" s="797"/>
      <c r="F11" s="797"/>
      <c r="G11" s="797"/>
      <c r="H11" s="797"/>
      <c r="I11" s="797"/>
      <c r="J11" s="797"/>
      <c r="K11" s="797"/>
      <c r="L11" s="797"/>
      <c r="M11" s="797"/>
      <c r="N11" s="797"/>
      <c r="O11" s="798"/>
      <c r="P11" s="469"/>
    </row>
    <row r="12" spans="1:16" s="468" customFormat="1" ht="24" customHeight="1" thickBot="1" x14ac:dyDescent="0.3">
      <c r="A12" s="466"/>
      <c r="B12" s="472" t="e">
        <f>RESULTADOS!Z37</f>
        <v>#DIV/0!</v>
      </c>
      <c r="C12" s="473" t="str">
        <f>RESULTADOS!AA37</f>
        <v>%</v>
      </c>
      <c r="D12" s="810" t="s">
        <v>411</v>
      </c>
      <c r="E12" s="810"/>
      <c r="F12" s="810"/>
      <c r="G12" s="810"/>
      <c r="H12" s="810"/>
      <c r="I12" s="810"/>
      <c r="J12" s="805" t="e">
        <f>RESULTADOS!Y35</f>
        <v>#DIV/0!</v>
      </c>
      <c r="K12" s="805"/>
      <c r="L12" s="805"/>
      <c r="M12" s="805"/>
      <c r="N12" s="805"/>
      <c r="O12" s="806"/>
      <c r="P12" s="467"/>
    </row>
    <row r="13" spans="1:16" s="464" customFormat="1" ht="15" hidden="1" customHeight="1" x14ac:dyDescent="0.25">
      <c r="A13" s="456"/>
      <c r="B13" s="811" t="e">
        <f>RESULTADOS!Y35</f>
        <v>#DIV/0!</v>
      </c>
      <c r="C13" s="812"/>
      <c r="D13" s="812"/>
      <c r="E13" s="812"/>
      <c r="F13" s="812"/>
      <c r="G13" s="812"/>
      <c r="H13" s="812"/>
      <c r="I13" s="812"/>
      <c r="J13" s="812"/>
      <c r="K13" s="812"/>
      <c r="L13" s="812"/>
      <c r="M13" s="812"/>
      <c r="N13" s="812"/>
      <c r="O13" s="813"/>
      <c r="P13" s="463"/>
    </row>
    <row r="14" spans="1:16" s="464" customFormat="1" ht="28.5" customHeight="1" thickBot="1" x14ac:dyDescent="0.3">
      <c r="A14" s="456"/>
      <c r="B14" s="814"/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16"/>
      <c r="P14" s="465"/>
    </row>
    <row r="15" spans="1:16" s="23" customFormat="1" ht="26.25" customHeight="1" x14ac:dyDescent="0.3">
      <c r="A15" s="817"/>
      <c r="B15" s="817"/>
      <c r="C15" s="817"/>
      <c r="D15" s="817"/>
      <c r="E15" s="817"/>
      <c r="F15" s="817"/>
      <c r="G15" s="817"/>
      <c r="H15" s="817"/>
      <c r="I15" s="817"/>
      <c r="J15" s="817"/>
      <c r="K15" s="817"/>
      <c r="L15" s="817"/>
      <c r="M15" s="817"/>
      <c r="N15" s="817"/>
      <c r="O15" s="817"/>
      <c r="P15" s="817"/>
    </row>
    <row r="16" spans="1:16" ht="15" customHeight="1" x14ac:dyDescent="0.3">
      <c r="A16" s="817"/>
      <c r="B16" s="817"/>
      <c r="C16" s="817"/>
      <c r="D16" s="817"/>
      <c r="E16" s="817"/>
      <c r="F16" s="817"/>
      <c r="G16" s="817"/>
      <c r="H16" s="817"/>
      <c r="I16" s="817"/>
      <c r="J16" s="817"/>
      <c r="K16" s="817"/>
      <c r="L16" s="817"/>
      <c r="M16" s="817"/>
      <c r="N16" s="817"/>
      <c r="O16" s="817"/>
      <c r="P16" s="817"/>
    </row>
    <row r="17" spans="1:16" ht="15" customHeight="1" x14ac:dyDescent="0.3">
      <c r="A17" s="817"/>
      <c r="B17" s="817"/>
      <c r="C17" s="817"/>
      <c r="D17" s="817"/>
      <c r="E17" s="817"/>
      <c r="F17" s="817"/>
      <c r="G17" s="817"/>
      <c r="H17" s="817"/>
      <c r="I17" s="817"/>
      <c r="J17" s="817"/>
      <c r="K17" s="817"/>
      <c r="L17" s="817"/>
      <c r="M17" s="817"/>
      <c r="N17" s="817"/>
      <c r="O17" s="817"/>
      <c r="P17" s="817"/>
    </row>
    <row r="18" spans="1:16" x14ac:dyDescent="0.3">
      <c r="A18" s="817"/>
      <c r="B18" s="817"/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  <c r="O18" s="817"/>
      <c r="P18" s="817"/>
    </row>
    <row r="19" spans="1:16" x14ac:dyDescent="0.3">
      <c r="A19" s="817"/>
      <c r="B19" s="817"/>
      <c r="C19" s="817"/>
      <c r="D19" s="817"/>
      <c r="E19" s="817"/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</row>
    <row r="20" spans="1:16" x14ac:dyDescent="0.3">
      <c r="A20" s="436"/>
      <c r="L20" s="49"/>
      <c r="M20" s="49"/>
      <c r="N20" s="49"/>
      <c r="O20" s="49"/>
      <c r="P20" s="1"/>
    </row>
    <row r="21" spans="1:16" x14ac:dyDescent="0.3">
      <c r="A21" s="436"/>
      <c r="L21" s="49"/>
      <c r="M21" s="49"/>
      <c r="N21" s="49"/>
      <c r="O21" s="49"/>
      <c r="P21" s="1"/>
    </row>
    <row r="22" spans="1:16" x14ac:dyDescent="0.3">
      <c r="A22" s="436"/>
      <c r="L22" s="49"/>
      <c r="M22" s="49"/>
      <c r="N22" s="49"/>
      <c r="O22" s="49"/>
      <c r="P22" s="1"/>
    </row>
  </sheetData>
  <sheetProtection sheet="1" objects="1" scenarios="1" selectLockedCells="1"/>
  <mergeCells count="20">
    <mergeCell ref="A15:P15"/>
    <mergeCell ref="A16:P16"/>
    <mergeCell ref="A17:P17"/>
    <mergeCell ref="A18:P18"/>
    <mergeCell ref="A19:P19"/>
    <mergeCell ref="J12:O12"/>
    <mergeCell ref="B13:O13"/>
    <mergeCell ref="D12:I12"/>
    <mergeCell ref="B14:J14"/>
    <mergeCell ref="K14:O14"/>
    <mergeCell ref="B8:O8"/>
    <mergeCell ref="J10:O10"/>
    <mergeCell ref="B6:O6"/>
    <mergeCell ref="B11:O11"/>
    <mergeCell ref="D10:I10"/>
    <mergeCell ref="B3:O3"/>
    <mergeCell ref="B2:O2"/>
    <mergeCell ref="B4:O4"/>
    <mergeCell ref="B5:O5"/>
    <mergeCell ref="B7:O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Pág Inicial</vt:lpstr>
      <vt:lpstr>SOCIODEMOGRÁFICA</vt:lpstr>
      <vt:lpstr>SUSTENTABILIDADE</vt:lpstr>
      <vt:lpstr>CHECK LIST</vt:lpstr>
      <vt:lpstr>AQPC</vt:lpstr>
      <vt:lpstr>RESULTADOS</vt:lpstr>
      <vt:lpstr>ANÁLISE INTEGRADA</vt:lpstr>
      <vt:lpstr>'ANÁLISE INTEGRADA'!Area_de_impressao</vt:lpstr>
      <vt:lpstr>RESULTADOS!Area_de_impressao</vt:lpstr>
      <vt:lpstr>SUSTENTABILIDADE!Area_de_impressao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SEMED</dc:creator>
  <cp:lastModifiedBy>Danielli</cp:lastModifiedBy>
  <cp:lastPrinted>2021-05-25T20:43:01Z</cp:lastPrinted>
  <dcterms:created xsi:type="dcterms:W3CDTF">2020-03-17T13:37:50Z</dcterms:created>
  <dcterms:modified xsi:type="dcterms:W3CDTF">2021-05-25T20:43:21Z</dcterms:modified>
</cp:coreProperties>
</file>